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orontsovaMU\Desktop\Дорина\Мониторинг образования\"/>
    </mc:Choice>
  </mc:AlternateContent>
  <bookViews>
    <workbookView xWindow="0" yWindow="0" windowWidth="28800" windowHeight="12135" tabRatio="933" activeTab="2"/>
  </bookViews>
  <sheets>
    <sheet name="СВОД" sheetId="10" r:id="rId1"/>
    <sheet name="Дошкольное" sheetId="1" r:id="rId2"/>
    <sheet name="Общее" sheetId="5" r:id="rId3"/>
    <sheet name="Профессиональное" sheetId="2" state="hidden" r:id="rId4"/>
    <sheet name="Высшее" sheetId="3" state="hidden" r:id="rId5"/>
    <sheet name="Дополнительное" sheetId="6" r:id="rId6"/>
    <sheet name="Дополнительное (взрослых)" sheetId="7" state="hidden" r:id="rId7"/>
    <sheet name="Профессиональное обучение" sheetId="8" state="hidden" r:id="rId8"/>
    <sheet name="Дополнительная информация" sheetId="9" r:id="rId9"/>
  </sheets>
  <definedNames>
    <definedName name="OLE_LINK1" localSheetId="8">'Дополнительная информация'!$B$18</definedName>
    <definedName name="_xlnm.Print_Area" localSheetId="8">'Дополнительная информация'!$A$1:$I$106</definedName>
    <definedName name="_xlnm.Print_Area" localSheetId="5">Дополнительное!$A$1:$J$125</definedName>
    <definedName name="_xlnm.Print_Area" localSheetId="1">Дошкольное!$A$1:$I$291</definedName>
    <definedName name="_xlnm.Print_Area" localSheetId="2">Общее!$A$1:$I$439</definedName>
  </definedNames>
  <calcPr calcId="152511"/>
</workbook>
</file>

<file path=xl/calcChain.xml><?xml version="1.0" encoding="utf-8"?>
<calcChain xmlns="http://schemas.openxmlformats.org/spreadsheetml/2006/main">
  <c r="I115" i="10" l="1"/>
  <c r="H115" i="10"/>
  <c r="G115" i="10"/>
  <c r="H112" i="10"/>
  <c r="G112" i="10"/>
  <c r="J272" i="1"/>
  <c r="I272" i="1"/>
  <c r="H272" i="1"/>
  <c r="I97" i="1"/>
  <c r="H97" i="1"/>
  <c r="J22" i="1" l="1"/>
  <c r="G136" i="10"/>
  <c r="I627" i="10"/>
  <c r="H627" i="10"/>
  <c r="G627" i="10"/>
  <c r="I620" i="10"/>
  <c r="H620" i="10"/>
  <c r="G620" i="10"/>
  <c r="I619" i="10"/>
  <c r="H619" i="10"/>
  <c r="G619" i="10"/>
  <c r="I613" i="10"/>
  <c r="H613" i="10"/>
  <c r="G613" i="10"/>
  <c r="I612" i="10"/>
  <c r="H612" i="10"/>
  <c r="G612" i="10"/>
  <c r="I606" i="10"/>
  <c r="H606" i="10"/>
  <c r="G606" i="10"/>
  <c r="I600" i="10"/>
  <c r="H600" i="10"/>
  <c r="G600" i="10"/>
  <c r="I599" i="10"/>
  <c r="H599" i="10"/>
  <c r="G599" i="10"/>
  <c r="I598" i="10"/>
  <c r="H598" i="10"/>
  <c r="G598" i="10"/>
  <c r="I597" i="10"/>
  <c r="H597" i="10"/>
  <c r="G597" i="10"/>
  <c r="I596" i="10"/>
  <c r="H596" i="10"/>
  <c r="G596" i="10"/>
  <c r="I595" i="10"/>
  <c r="H595" i="10"/>
  <c r="G595" i="10"/>
  <c r="I594" i="10"/>
  <c r="H594" i="10"/>
  <c r="G594" i="10"/>
  <c r="I593" i="10"/>
  <c r="H593" i="10"/>
  <c r="G593" i="10"/>
  <c r="I592" i="10"/>
  <c r="H592" i="10"/>
  <c r="G592" i="10"/>
  <c r="I591" i="10"/>
  <c r="H591" i="10"/>
  <c r="G591" i="10"/>
  <c r="I590" i="10"/>
  <c r="H590" i="10"/>
  <c r="G590" i="10"/>
  <c r="F587" i="10"/>
  <c r="I587" i="10"/>
  <c r="H587" i="10"/>
  <c r="G587" i="10"/>
  <c r="G292" i="10"/>
  <c r="I267" i="10"/>
  <c r="H267" i="10"/>
  <c r="G267" i="10"/>
  <c r="I266" i="10"/>
  <c r="H266" i="10"/>
  <c r="G266" i="10"/>
  <c r="I261" i="10"/>
  <c r="H261" i="10"/>
  <c r="G261" i="10"/>
  <c r="I260" i="10"/>
  <c r="H260" i="10"/>
  <c r="G260" i="10"/>
  <c r="I259" i="10"/>
  <c r="H259" i="10"/>
  <c r="G259" i="10"/>
  <c r="H252" i="10"/>
  <c r="G252" i="10"/>
  <c r="I249" i="10"/>
  <c r="H249" i="10"/>
  <c r="G249" i="10"/>
  <c r="I246" i="10"/>
  <c r="H246" i="10"/>
  <c r="G242" i="10"/>
  <c r="G246" i="10"/>
  <c r="I243" i="10" l="1"/>
  <c r="H243" i="10"/>
  <c r="G243" i="10"/>
  <c r="I242" i="10"/>
  <c r="H242" i="10"/>
  <c r="I240" i="10"/>
  <c r="H240" i="10"/>
  <c r="G240" i="10"/>
  <c r="I239" i="10"/>
  <c r="H239" i="10"/>
  <c r="G239" i="10"/>
  <c r="I237" i="10"/>
  <c r="H237" i="10"/>
  <c r="G237" i="10"/>
  <c r="I236" i="10"/>
  <c r="H236" i="10"/>
  <c r="G236" i="10"/>
  <c r="I233" i="10"/>
  <c r="H233" i="10"/>
  <c r="G233" i="10"/>
  <c r="I232" i="10"/>
  <c r="H232" i="10"/>
  <c r="G232" i="10"/>
  <c r="I198" i="10"/>
  <c r="H198" i="10"/>
  <c r="G198" i="10"/>
  <c r="I197" i="10"/>
  <c r="H197" i="10"/>
  <c r="G197" i="10"/>
  <c r="I196" i="10"/>
  <c r="H196" i="10"/>
  <c r="G196" i="10"/>
  <c r="H222" i="5"/>
  <c r="I191" i="10"/>
  <c r="H191" i="10"/>
  <c r="G191" i="10"/>
  <c r="I190" i="10"/>
  <c r="H190" i="10"/>
  <c r="G190" i="10"/>
  <c r="I189" i="10"/>
  <c r="H189" i="10"/>
  <c r="G189" i="10"/>
  <c r="I185" i="10"/>
  <c r="H185" i="10"/>
  <c r="G185" i="10"/>
  <c r="I182" i="10"/>
  <c r="H182" i="10"/>
  <c r="G182" i="10"/>
  <c r="I179" i="10"/>
  <c r="H179" i="10"/>
  <c r="G179" i="10"/>
  <c r="I175" i="10"/>
  <c r="H175" i="10"/>
  <c r="G175" i="10"/>
  <c r="I172" i="10"/>
  <c r="H172" i="10"/>
  <c r="G172" i="10"/>
  <c r="J154" i="5"/>
  <c r="I169" i="10"/>
  <c r="H169" i="10"/>
  <c r="G169" i="10"/>
  <c r="I165" i="10"/>
  <c r="H165" i="10"/>
  <c r="G165" i="10"/>
  <c r="I156" i="10"/>
  <c r="H156" i="10"/>
  <c r="G156" i="10"/>
  <c r="I155" i="10"/>
  <c r="H155" i="10"/>
  <c r="G155" i="10"/>
  <c r="I154" i="10"/>
  <c r="H154" i="10"/>
  <c r="G154" i="10"/>
  <c r="I149" i="10"/>
  <c r="H149" i="10"/>
  <c r="G149" i="10"/>
  <c r="I148" i="10"/>
  <c r="H148" i="10"/>
  <c r="G148" i="10"/>
  <c r="I147" i="10"/>
  <c r="H147" i="10"/>
  <c r="G147" i="10"/>
  <c r="I138" i="10"/>
  <c r="H138" i="10"/>
  <c r="G138" i="10"/>
  <c r="I137" i="10"/>
  <c r="H137" i="10"/>
  <c r="G137" i="10"/>
  <c r="I136" i="10"/>
  <c r="H136" i="10"/>
  <c r="I125" i="10"/>
  <c r="H125" i="10"/>
  <c r="G125" i="10"/>
  <c r="I114" i="10"/>
  <c r="H114" i="10"/>
  <c r="G114" i="10"/>
  <c r="I111" i="10"/>
  <c r="H111" i="10"/>
  <c r="G111" i="10"/>
  <c r="I107" i="10"/>
  <c r="H107" i="10"/>
  <c r="G107" i="10"/>
  <c r="I104" i="10"/>
  <c r="H104" i="10"/>
  <c r="G104" i="10"/>
  <c r="I103" i="10"/>
  <c r="H103" i="10"/>
  <c r="G103" i="10"/>
  <c r="I102" i="10"/>
  <c r="H102" i="10"/>
  <c r="G102" i="10"/>
  <c r="I71" i="10"/>
  <c r="I67" i="10"/>
  <c r="H67" i="10"/>
  <c r="G67" i="10"/>
  <c r="I66" i="10"/>
  <c r="H66" i="10"/>
  <c r="G66" i="10"/>
  <c r="I65" i="10"/>
  <c r="H65" i="10"/>
  <c r="G65" i="10"/>
  <c r="I64" i="10"/>
  <c r="H64" i="10"/>
  <c r="G64" i="10"/>
  <c r="I63" i="10"/>
  <c r="H63" i="10"/>
  <c r="G63" i="10"/>
  <c r="I62" i="10"/>
  <c r="H62" i="10"/>
  <c r="G62" i="10"/>
  <c r="I52" i="10"/>
  <c r="H52" i="10"/>
  <c r="G52" i="10"/>
  <c r="I51" i="10"/>
  <c r="H51" i="10"/>
  <c r="G51" i="10"/>
  <c r="I50" i="10"/>
  <c r="H50" i="10"/>
  <c r="G50" i="10"/>
  <c r="I49" i="10"/>
  <c r="H49" i="10"/>
  <c r="G49" i="10"/>
  <c r="I48" i="10"/>
  <c r="H48" i="10"/>
  <c r="G48" i="10"/>
  <c r="I47" i="10"/>
  <c r="H47" i="10"/>
  <c r="G47" i="10"/>
  <c r="I46" i="10"/>
  <c r="H46" i="10"/>
  <c r="G46" i="10"/>
  <c r="I45" i="10"/>
  <c r="H45" i="10"/>
  <c r="G45" i="10"/>
  <c r="I44" i="10"/>
  <c r="H44" i="10"/>
  <c r="G44" i="10"/>
  <c r="I43" i="10"/>
  <c r="H43" i="10"/>
  <c r="G43" i="10"/>
  <c r="H113" i="1"/>
  <c r="H89" i="1"/>
  <c r="I38" i="10"/>
  <c r="H38" i="10"/>
  <c r="G38" i="10"/>
  <c r="H31" i="10"/>
  <c r="G31" i="10"/>
  <c r="H30" i="10"/>
  <c r="G30" i="10"/>
  <c r="I31" i="10"/>
  <c r="I30" i="10"/>
  <c r="J51" i="1"/>
  <c r="I29" i="10"/>
  <c r="H29" i="10"/>
  <c r="G29" i="10"/>
  <c r="I28" i="10"/>
  <c r="H28" i="10"/>
  <c r="G28" i="10"/>
  <c r="I27" i="10"/>
  <c r="H27" i="10"/>
  <c r="G27" i="10"/>
  <c r="H47" i="1"/>
  <c r="I13" i="10"/>
  <c r="H13" i="10"/>
  <c r="G13" i="10"/>
  <c r="J146" i="1"/>
  <c r="J145" i="1"/>
  <c r="J91" i="1"/>
  <c r="J90" i="1"/>
  <c r="J52" i="1"/>
  <c r="J50" i="1"/>
  <c r="J99" i="9"/>
  <c r="J100" i="9"/>
  <c r="I100" i="9"/>
  <c r="J86" i="9"/>
  <c r="J85" i="9"/>
  <c r="J266" i="1" l="1"/>
  <c r="J265" i="1"/>
  <c r="J257" i="1"/>
  <c r="I112" i="10" s="1"/>
  <c r="J256" i="1"/>
  <c r="J216" i="1" l="1"/>
  <c r="J224" i="1"/>
  <c r="K69" i="6" l="1"/>
  <c r="K68" i="6"/>
  <c r="K67" i="6"/>
  <c r="K112" i="6"/>
  <c r="K109" i="6"/>
  <c r="K62" i="6"/>
  <c r="J386" i="5" l="1"/>
  <c r="J429" i="5"/>
  <c r="J416" i="5"/>
  <c r="J415" i="5"/>
  <c r="J403" i="5"/>
  <c r="J402" i="5"/>
  <c r="J388" i="5"/>
  <c r="J387" i="5"/>
  <c r="J366" i="5"/>
  <c r="J365" i="5"/>
  <c r="J364" i="5"/>
  <c r="J363" i="5"/>
  <c r="J362" i="5"/>
  <c r="J361" i="5"/>
  <c r="J348" i="5"/>
  <c r="J335" i="5"/>
  <c r="J334" i="5"/>
  <c r="I252" i="10" s="1"/>
  <c r="J324" i="5"/>
  <c r="J323" i="5"/>
  <c r="J313" i="5"/>
  <c r="J312" i="5"/>
  <c r="J244" i="5"/>
  <c r="J243" i="5"/>
  <c r="J242" i="5"/>
  <c r="J241" i="5"/>
  <c r="J240" i="5"/>
  <c r="J239" i="5"/>
  <c r="J161" i="5"/>
  <c r="J158" i="5"/>
  <c r="J155" i="5"/>
  <c r="J59" i="5"/>
  <c r="J58" i="5"/>
  <c r="J42" i="5"/>
  <c r="J206" i="5"/>
  <c r="J205" i="5"/>
  <c r="J190" i="5"/>
  <c r="J187" i="5"/>
  <c r="J189" i="5"/>
  <c r="J186" i="5"/>
  <c r="J135" i="5"/>
  <c r="J225" i="5"/>
  <c r="J224" i="5"/>
  <c r="J223" i="5"/>
  <c r="J222" i="5"/>
  <c r="J221" i="5"/>
  <c r="J220" i="5"/>
  <c r="J160" i="5"/>
  <c r="J157" i="5"/>
  <c r="J78" i="5"/>
  <c r="J134" i="5"/>
  <c r="J131" i="5"/>
  <c r="J130" i="5"/>
  <c r="J128" i="5"/>
  <c r="J127" i="5"/>
  <c r="J125" i="5"/>
  <c r="J124" i="5"/>
  <c r="J113" i="5" l="1"/>
  <c r="J114" i="5" l="1"/>
  <c r="E124" i="5" l="1"/>
  <c r="I120" i="5"/>
  <c r="J120" i="5"/>
  <c r="J107" i="5"/>
  <c r="J106" i="5"/>
  <c r="J105" i="5"/>
  <c r="I101" i="5"/>
  <c r="J100" i="5"/>
  <c r="J99" i="5"/>
  <c r="J98" i="5"/>
  <c r="J91" i="5"/>
  <c r="J90" i="5"/>
  <c r="J89" i="5"/>
  <c r="J84" i="5"/>
  <c r="J81" i="5" s="1"/>
  <c r="J83" i="5"/>
  <c r="J82" i="5"/>
  <c r="J71" i="5"/>
  <c r="J70" i="5"/>
  <c r="J60" i="5"/>
  <c r="J57" i="5" s="1"/>
  <c r="J54" i="5"/>
  <c r="J48" i="5"/>
  <c r="J47" i="5"/>
  <c r="J46" i="5"/>
  <c r="J40" i="5"/>
  <c r="J39" i="5"/>
  <c r="J38" i="5"/>
  <c r="J37" i="5"/>
  <c r="J45" i="5" l="1"/>
  <c r="J32" i="5"/>
  <c r="J29" i="5"/>
  <c r="J26" i="5" s="1"/>
  <c r="J28" i="5"/>
  <c r="J27" i="5"/>
  <c r="J23" i="5"/>
  <c r="J20" i="5"/>
  <c r="J17" i="5" s="1"/>
  <c r="J19" i="5"/>
  <c r="J18" i="5"/>
  <c r="J10" i="5"/>
  <c r="J274" i="1"/>
  <c r="J275" i="1"/>
  <c r="J276" i="1"/>
  <c r="J244" i="1"/>
  <c r="J247" i="1" s="1"/>
  <c r="J283" i="5"/>
  <c r="K123" i="6"/>
  <c r="K96" i="6"/>
  <c r="K95" i="6"/>
  <c r="K89" i="6"/>
  <c r="K90" i="6"/>
  <c r="K72" i="6"/>
  <c r="J241" i="1"/>
  <c r="J238" i="1" s="1"/>
  <c r="J240" i="1"/>
  <c r="J239" i="1"/>
  <c r="J177" i="1"/>
  <c r="J174" i="1"/>
  <c r="J173" i="1"/>
  <c r="J172" i="1"/>
  <c r="J168" i="1"/>
  <c r="J165" i="1"/>
  <c r="J162" i="1" s="1"/>
  <c r="J164" i="1"/>
  <c r="J163" i="1"/>
  <c r="J23" i="1"/>
  <c r="J20" i="1" s="1"/>
  <c r="J21" i="1"/>
  <c r="J155" i="1"/>
  <c r="J141" i="1" s="1"/>
  <c r="J142" i="1"/>
  <c r="J134" i="1"/>
  <c r="J121" i="1"/>
  <c r="J120" i="1"/>
  <c r="J118" i="1"/>
  <c r="J117" i="1"/>
  <c r="J115" i="1"/>
  <c r="J114" i="1"/>
  <c r="J131" i="1"/>
  <c r="J128" i="1"/>
  <c r="J125" i="1"/>
  <c r="J122" i="1"/>
  <c r="J106" i="1"/>
  <c r="J113" i="1" l="1"/>
  <c r="J119" i="1"/>
  <c r="J171" i="1"/>
  <c r="J116" i="1"/>
  <c r="J93" i="1"/>
  <c r="J86" i="1" s="1"/>
  <c r="I36" i="10" s="1"/>
  <c r="J88" i="1"/>
  <c r="J87" i="1"/>
  <c r="I37" i="10" s="1"/>
  <c r="J61" i="1"/>
  <c r="J54" i="1"/>
  <c r="J11" i="1"/>
  <c r="J10" i="1" s="1"/>
  <c r="J13" i="1"/>
  <c r="J12" i="1"/>
  <c r="J89" i="1" l="1"/>
  <c r="J47" i="1"/>
  <c r="J79" i="1"/>
  <c r="J78" i="1"/>
  <c r="J74" i="1"/>
  <c r="J72" i="1"/>
  <c r="J71" i="1"/>
  <c r="J70" i="1"/>
  <c r="J69" i="1"/>
  <c r="J68" i="1"/>
  <c r="F71" i="1"/>
  <c r="J26" i="1"/>
  <c r="J114" i="6" l="1"/>
  <c r="J112" i="6" s="1"/>
  <c r="I114" i="6"/>
  <c r="I112" i="6" s="1"/>
  <c r="J109" i="6"/>
  <c r="I109" i="6"/>
  <c r="J69" i="6"/>
  <c r="H69" i="6"/>
  <c r="G69" i="6"/>
  <c r="F69" i="6"/>
  <c r="I69" i="6"/>
  <c r="F68" i="6"/>
  <c r="F67" i="6"/>
  <c r="G68" i="6"/>
  <c r="G67" i="6"/>
  <c r="H68" i="6"/>
  <c r="H67" i="6"/>
  <c r="I68" i="6"/>
  <c r="I67" i="6"/>
  <c r="J68" i="6"/>
  <c r="J67" i="6"/>
  <c r="J62" i="6"/>
  <c r="I62" i="6"/>
  <c r="H131" i="6"/>
  <c r="G131" i="6"/>
  <c r="F131" i="6"/>
  <c r="H130" i="6"/>
  <c r="G130" i="6"/>
  <c r="F130" i="6"/>
  <c r="H129" i="6"/>
  <c r="G129" i="6"/>
  <c r="F129" i="6"/>
  <c r="H128" i="6"/>
  <c r="G128" i="6"/>
  <c r="F128" i="6"/>
  <c r="H123" i="6"/>
  <c r="G123" i="6"/>
  <c r="F123" i="6"/>
  <c r="H120" i="6"/>
  <c r="G120" i="6"/>
  <c r="F120" i="6"/>
  <c r="H116" i="6"/>
  <c r="G116" i="6"/>
  <c r="F116" i="6"/>
  <c r="H112" i="6"/>
  <c r="G112" i="6"/>
  <c r="F112" i="6"/>
  <c r="H109" i="6"/>
  <c r="G109" i="6"/>
  <c r="F109" i="6"/>
  <c r="H103" i="6"/>
  <c r="G103" i="6"/>
  <c r="F103" i="6"/>
  <c r="H98" i="6"/>
  <c r="H95" i="6" s="1"/>
  <c r="G98" i="6"/>
  <c r="F98" i="6"/>
  <c r="H97" i="6"/>
  <c r="G97" i="6"/>
  <c r="F97" i="6"/>
  <c r="H96" i="6"/>
  <c r="G96" i="6"/>
  <c r="F96" i="6"/>
  <c r="G95" i="6"/>
  <c r="H90" i="6"/>
  <c r="G90" i="6"/>
  <c r="F90" i="6"/>
  <c r="H89" i="6"/>
  <c r="G89" i="6"/>
  <c r="F89" i="6"/>
  <c r="J79" i="6"/>
  <c r="I79" i="6"/>
  <c r="H79" i="6"/>
  <c r="G79" i="6"/>
  <c r="F79" i="6"/>
  <c r="H78" i="6"/>
  <c r="G78" i="6"/>
  <c r="F78" i="6"/>
  <c r="H77" i="6"/>
  <c r="G77" i="6"/>
  <c r="F77" i="6"/>
  <c r="H76" i="6"/>
  <c r="G76" i="6"/>
  <c r="F76" i="6"/>
  <c r="H72" i="6"/>
  <c r="G72" i="6"/>
  <c r="F72" i="6"/>
  <c r="H62" i="6"/>
  <c r="G62" i="6"/>
  <c r="F62" i="6"/>
  <c r="H46" i="6"/>
  <c r="H44" i="6" s="1"/>
  <c r="G46" i="6"/>
  <c r="G43" i="6" s="1"/>
  <c r="F46" i="6"/>
  <c r="F43" i="6" s="1"/>
  <c r="F42" i="6"/>
  <c r="H40" i="6"/>
  <c r="G40" i="6"/>
  <c r="G39" i="6"/>
  <c r="H38" i="6"/>
  <c r="H37" i="6"/>
  <c r="G37" i="6"/>
  <c r="G35" i="6"/>
  <c r="F35" i="6"/>
  <c r="H10" i="6"/>
  <c r="G10" i="6"/>
  <c r="F10" i="6"/>
  <c r="E10" i="6"/>
  <c r="F95" i="6" l="1"/>
  <c r="H43" i="6"/>
  <c r="G36" i="6"/>
  <c r="F38" i="6"/>
  <c r="H39" i="6"/>
  <c r="F41" i="6"/>
  <c r="G42" i="6"/>
  <c r="G44" i="6"/>
  <c r="F37" i="6"/>
  <c r="G38" i="6"/>
  <c r="F40" i="6"/>
  <c r="G41" i="6"/>
  <c r="H42" i="6"/>
  <c r="G45" i="6"/>
  <c r="H41" i="6"/>
  <c r="H45" i="6"/>
  <c r="H35" i="6"/>
  <c r="F36" i="6"/>
  <c r="F39" i="6"/>
  <c r="H11" i="1" l="1"/>
  <c r="H10" i="1" s="1"/>
  <c r="I13" i="1"/>
  <c r="H13" i="1"/>
  <c r="G13" i="1"/>
  <c r="F13" i="1"/>
  <c r="E13" i="1"/>
  <c r="I17" i="1"/>
  <c r="I11" i="1" s="1"/>
  <c r="I10" i="1" s="1"/>
  <c r="H17" i="1"/>
  <c r="I20" i="1"/>
  <c r="G20" i="1"/>
  <c r="F20" i="1"/>
  <c r="E20" i="1"/>
  <c r="G17" i="1" l="1"/>
  <c r="F17" i="1"/>
  <c r="E17" i="1"/>
  <c r="E11" i="1" s="1"/>
  <c r="E10" i="1" s="1"/>
  <c r="F11" i="1" l="1"/>
  <c r="F10" i="1" s="1"/>
  <c r="G11" i="1"/>
  <c r="G10" i="1" s="1"/>
  <c r="I259" i="1"/>
  <c r="I244" i="1"/>
  <c r="H244" i="1"/>
  <c r="H247" i="1" s="1"/>
  <c r="G244" i="1"/>
  <c r="G247" i="1" s="1"/>
  <c r="F244" i="1"/>
  <c r="F247" i="1" s="1"/>
  <c r="E244" i="1"/>
  <c r="I241" i="1"/>
  <c r="H241" i="1"/>
  <c r="G241" i="1"/>
  <c r="F241" i="1"/>
  <c r="E241" i="1"/>
  <c r="I240" i="1"/>
  <c r="H240" i="1"/>
  <c r="G240" i="1"/>
  <c r="F240" i="1"/>
  <c r="E240" i="1"/>
  <c r="I239" i="1"/>
  <c r="H239" i="1"/>
  <c r="G239" i="1"/>
  <c r="F239" i="1"/>
  <c r="E239" i="1"/>
  <c r="I177" i="1"/>
  <c r="I156" i="1"/>
  <c r="I155" i="1" s="1"/>
  <c r="H156" i="1"/>
  <c r="H155" i="1" s="1"/>
  <c r="H238" i="1" l="1"/>
  <c r="F238" i="1"/>
  <c r="E238" i="1"/>
  <c r="I238" i="1"/>
  <c r="G238" i="1"/>
  <c r="E247" i="1"/>
  <c r="I247" i="1"/>
  <c r="I107" i="1"/>
  <c r="I106" i="1" s="1"/>
  <c r="H107" i="1"/>
  <c r="H106" i="1" s="1"/>
  <c r="H55" i="1"/>
  <c r="H54" i="1" s="1"/>
  <c r="E78" i="1"/>
  <c r="E71" i="1"/>
  <c r="E70" i="1"/>
  <c r="E68" i="1"/>
  <c r="E74" i="1"/>
  <c r="E72" i="1"/>
  <c r="E69" i="1"/>
  <c r="F78" i="1"/>
  <c r="F74" i="1"/>
  <c r="F72" i="1"/>
  <c r="F70" i="1"/>
  <c r="F69" i="1"/>
  <c r="F68" i="1"/>
  <c r="H78" i="1"/>
  <c r="G78" i="1"/>
  <c r="G74" i="1"/>
  <c r="G72" i="1"/>
  <c r="G71" i="1"/>
  <c r="G70" i="1"/>
  <c r="G69" i="1"/>
  <c r="G68" i="1"/>
  <c r="H74" i="1"/>
  <c r="H72" i="1"/>
  <c r="H71" i="1"/>
  <c r="H70" i="1"/>
  <c r="H69" i="1"/>
  <c r="H68" i="1"/>
  <c r="I78" i="1"/>
  <c r="I74" i="1"/>
  <c r="I72" i="1"/>
  <c r="I71" i="1"/>
  <c r="I70" i="1"/>
  <c r="I69" i="1"/>
  <c r="I68" i="1"/>
  <c r="I55" i="1"/>
  <c r="I54" i="1" s="1"/>
  <c r="I47" i="1" s="1"/>
  <c r="I31" i="1" l="1"/>
  <c r="H31" i="1"/>
  <c r="G31" i="1"/>
  <c r="F31" i="1"/>
  <c r="E31" i="1"/>
  <c r="H26" i="1"/>
  <c r="G26" i="1"/>
  <c r="F26" i="1"/>
  <c r="E26" i="1"/>
  <c r="I26" i="1"/>
  <c r="I25" i="1" l="1"/>
  <c r="G25" i="1"/>
  <c r="F25" i="1"/>
  <c r="E25" i="1"/>
  <c r="E15" i="1"/>
  <c r="F15" i="1"/>
  <c r="G15" i="1"/>
  <c r="H15" i="1"/>
  <c r="I15" i="1"/>
  <c r="I429" i="5"/>
  <c r="H429" i="5"/>
  <c r="G429" i="5"/>
  <c r="F429" i="5"/>
  <c r="E429" i="5"/>
  <c r="I428" i="5"/>
  <c r="H428" i="5"/>
  <c r="G428" i="5"/>
  <c r="F428" i="5"/>
  <c r="E428" i="5"/>
  <c r="I416" i="5"/>
  <c r="H416" i="5"/>
  <c r="G416" i="5"/>
  <c r="F416" i="5"/>
  <c r="E416" i="5"/>
  <c r="I415" i="5"/>
  <c r="H415" i="5"/>
  <c r="G415" i="5"/>
  <c r="F415" i="5"/>
  <c r="E415" i="5"/>
  <c r="H21" i="1" l="1"/>
  <c r="H12" i="1"/>
  <c r="G21" i="1"/>
  <c r="G12" i="1"/>
  <c r="F21" i="1"/>
  <c r="F12" i="1"/>
  <c r="I21" i="1"/>
  <c r="I12" i="1"/>
  <c r="E21" i="1"/>
  <c r="E12" i="1"/>
  <c r="H16" i="1"/>
  <c r="H22" i="1" s="1"/>
  <c r="G16" i="1"/>
  <c r="F16" i="1"/>
  <c r="I16" i="1"/>
  <c r="E16" i="1"/>
  <c r="I40" i="5"/>
  <c r="H40" i="5"/>
  <c r="G40" i="5"/>
  <c r="F40" i="5"/>
  <c r="E40" i="5"/>
  <c r="I22" i="1" l="1"/>
  <c r="G22" i="1"/>
  <c r="E22" i="1"/>
  <c r="F22" i="1"/>
  <c r="E125" i="5"/>
  <c r="E131" i="5"/>
  <c r="E130" i="5"/>
  <c r="E128" i="5"/>
  <c r="E127" i="5"/>
  <c r="F128" i="5"/>
  <c r="F127" i="5"/>
  <c r="F125" i="5"/>
  <c r="F124" i="5"/>
  <c r="F131" i="5"/>
  <c r="F130" i="5"/>
  <c r="G131" i="5"/>
  <c r="G130" i="5"/>
  <c r="G128" i="5"/>
  <c r="G127" i="5"/>
  <c r="G125" i="5"/>
  <c r="G124" i="5"/>
  <c r="H131" i="5"/>
  <c r="H130" i="5"/>
  <c r="H128" i="5"/>
  <c r="H127" i="5"/>
  <c r="H125" i="5"/>
  <c r="H124" i="5"/>
  <c r="I128" i="5"/>
  <c r="I131" i="5"/>
  <c r="I130" i="5"/>
  <c r="I127" i="5"/>
  <c r="I125" i="5"/>
  <c r="I124" i="5"/>
  <c r="H120" i="5"/>
  <c r="G120" i="5"/>
  <c r="F120" i="5"/>
  <c r="E120" i="5"/>
  <c r="E51" i="5"/>
  <c r="F51" i="5"/>
  <c r="G51" i="5"/>
  <c r="H51" i="5"/>
  <c r="I51" i="5"/>
  <c r="E60" i="5"/>
  <c r="F60" i="5"/>
  <c r="G60" i="5"/>
  <c r="H60" i="5"/>
  <c r="I60" i="5"/>
  <c r="E63" i="5"/>
  <c r="F63" i="5"/>
  <c r="G63" i="5"/>
  <c r="H63" i="5"/>
  <c r="I63" i="5"/>
  <c r="E66" i="5"/>
  <c r="F66" i="5"/>
  <c r="G66" i="5"/>
  <c r="H66" i="5"/>
  <c r="I66" i="5"/>
  <c r="I42" i="5"/>
  <c r="H42" i="5"/>
  <c r="G42" i="5"/>
  <c r="F42" i="5"/>
  <c r="E42" i="5"/>
  <c r="H78" i="5" l="1"/>
  <c r="G78" i="5"/>
  <c r="F78" i="5"/>
  <c r="E78" i="5"/>
  <c r="I78" i="5"/>
  <c r="I39" i="5"/>
  <c r="I38" i="5"/>
  <c r="I37" i="5"/>
  <c r="H39" i="5" l="1"/>
  <c r="H38" i="5"/>
  <c r="H37" i="5"/>
  <c r="G39" i="5"/>
  <c r="G38" i="5"/>
  <c r="G37" i="5"/>
  <c r="F39" i="5"/>
  <c r="F38" i="5"/>
  <c r="F37" i="5"/>
  <c r="E39" i="5"/>
  <c r="E38" i="5"/>
  <c r="E37" i="5"/>
  <c r="H102" i="9" l="1"/>
  <c r="H100" i="9" s="1"/>
  <c r="H99" i="9" s="1"/>
  <c r="H86" i="9"/>
  <c r="H85" i="9"/>
  <c r="H403" i="5"/>
  <c r="H402" i="5"/>
  <c r="H388" i="5"/>
  <c r="H387" i="5"/>
  <c r="H386" i="5"/>
  <c r="H366" i="5"/>
  <c r="H365" i="5"/>
  <c r="H364" i="5"/>
  <c r="H363" i="5"/>
  <c r="H362" i="5"/>
  <c r="H361" i="5"/>
  <c r="H348" i="5"/>
  <c r="H347" i="5"/>
  <c r="H335" i="5"/>
  <c r="H334" i="5"/>
  <c r="H324" i="5"/>
  <c r="H323" i="5"/>
  <c r="H313" i="5"/>
  <c r="H312" i="5"/>
  <c r="H283" i="5"/>
  <c r="H244" i="5"/>
  <c r="H243" i="5"/>
  <c r="H242" i="5"/>
  <c r="H241" i="5"/>
  <c r="H240" i="5"/>
  <c r="H239" i="5"/>
  <c r="H225" i="5"/>
  <c r="H224" i="5"/>
  <c r="H223" i="5"/>
  <c r="H221" i="5"/>
  <c r="H206" i="5"/>
  <c r="H205" i="5"/>
  <c r="H190" i="5"/>
  <c r="H189" i="5"/>
  <c r="H187" i="5"/>
  <c r="H186" i="5"/>
  <c r="H161" i="5"/>
  <c r="H160" i="5"/>
  <c r="H158" i="5"/>
  <c r="H157" i="5"/>
  <c r="H155" i="5"/>
  <c r="H154" i="5"/>
  <c r="H144" i="5"/>
  <c r="H135" i="5"/>
  <c r="H134" i="5"/>
  <c r="H114" i="5"/>
  <c r="H113" i="5"/>
  <c r="H107" i="5"/>
  <c r="H106" i="5"/>
  <c r="H105" i="5"/>
  <c r="H100" i="5"/>
  <c r="H99" i="5"/>
  <c r="H98" i="5"/>
  <c r="H91" i="5"/>
  <c r="H90" i="5"/>
  <c r="H89" i="5"/>
  <c r="H84" i="5"/>
  <c r="H81" i="5" s="1"/>
  <c r="H83" i="5"/>
  <c r="H82" i="5"/>
  <c r="H71" i="5"/>
  <c r="H70" i="5"/>
  <c r="H57" i="5"/>
  <c r="H59" i="5"/>
  <c r="H58" i="5"/>
  <c r="H54" i="5"/>
  <c r="H48" i="5"/>
  <c r="H47" i="5"/>
  <c r="H46" i="5"/>
  <c r="H32" i="5"/>
  <c r="H29" i="5"/>
  <c r="H28" i="5"/>
  <c r="H27" i="5"/>
  <c r="H23" i="5"/>
  <c r="H20" i="5"/>
  <c r="H19" i="5"/>
  <c r="H18" i="5"/>
  <c r="H11" i="5"/>
  <c r="H10" i="5" s="1"/>
  <c r="H285" i="1"/>
  <c r="H284" i="1"/>
  <c r="H283" i="1"/>
  <c r="H280" i="1"/>
  <c r="H274" i="1" s="1"/>
  <c r="H276" i="1"/>
  <c r="H275" i="1"/>
  <c r="H266" i="1"/>
  <c r="H265" i="1"/>
  <c r="H257" i="1"/>
  <c r="H256" i="1"/>
  <c r="H177" i="1"/>
  <c r="H174" i="1"/>
  <c r="H173" i="1"/>
  <c r="H172" i="1"/>
  <c r="H168" i="1"/>
  <c r="H165" i="1"/>
  <c r="H164" i="1"/>
  <c r="H163" i="1"/>
  <c r="H151" i="1"/>
  <c r="H146" i="1"/>
  <c r="H145" i="1"/>
  <c r="H143" i="1"/>
  <c r="H142" i="1"/>
  <c r="H137" i="1"/>
  <c r="H134" i="1"/>
  <c r="H131" i="1"/>
  <c r="H128" i="1"/>
  <c r="H125" i="1"/>
  <c r="H121" i="1"/>
  <c r="H120" i="1"/>
  <c r="H118" i="1"/>
  <c r="H117" i="1"/>
  <c r="H115" i="1"/>
  <c r="H114" i="1"/>
  <c r="H86" i="1"/>
  <c r="G36" i="10" s="1"/>
  <c r="H87" i="1"/>
  <c r="G37" i="10" s="1"/>
  <c r="H91" i="1"/>
  <c r="H90" i="1"/>
  <c r="H88" i="1"/>
  <c r="H80" i="1"/>
  <c r="H79" i="1" s="1"/>
  <c r="H52" i="1"/>
  <c r="H51" i="1"/>
  <c r="H50" i="1"/>
  <c r="H49" i="1"/>
  <c r="H48" i="1"/>
  <c r="H162" i="1" l="1"/>
  <c r="H171" i="1"/>
  <c r="H119" i="1"/>
  <c r="H141" i="1"/>
  <c r="H116" i="1"/>
  <c r="H144" i="1"/>
  <c r="H220" i="5"/>
  <c r="H17" i="5"/>
  <c r="H26" i="5"/>
  <c r="H45" i="5"/>
  <c r="I283" i="5"/>
  <c r="I125" i="1" l="1"/>
  <c r="I99" i="9" l="1"/>
  <c r="I86" i="9"/>
  <c r="I85" i="9"/>
  <c r="I403" i="5" l="1"/>
  <c r="I402" i="5"/>
  <c r="I388" i="5" l="1"/>
  <c r="I387" i="5"/>
  <c r="I386" i="5"/>
  <c r="I366" i="5"/>
  <c r="I365" i="5"/>
  <c r="I364" i="5"/>
  <c r="I363" i="5"/>
  <c r="I362" i="5"/>
  <c r="I361" i="5"/>
  <c r="I348" i="5"/>
  <c r="I347" i="5"/>
  <c r="I335" i="5"/>
  <c r="I334" i="5"/>
  <c r="I324" i="5"/>
  <c r="I323" i="5"/>
  <c r="I313" i="5"/>
  <c r="I312" i="5"/>
  <c r="I244" i="5" l="1"/>
  <c r="I243" i="5"/>
  <c r="I242" i="5"/>
  <c r="I241" i="5"/>
  <c r="I240" i="5"/>
  <c r="I239" i="5"/>
  <c r="I225" i="5" l="1"/>
  <c r="I224" i="5"/>
  <c r="I223" i="5"/>
  <c r="I222" i="5"/>
  <c r="I221" i="5"/>
  <c r="I220" i="5"/>
  <c r="I206" i="5" l="1"/>
  <c r="I205" i="5"/>
  <c r="I190" i="5" l="1"/>
  <c r="I189" i="5"/>
  <c r="I187" i="5"/>
  <c r="I186" i="5"/>
  <c r="I161" i="5"/>
  <c r="I160" i="5"/>
  <c r="I158" i="5"/>
  <c r="I157" i="5"/>
  <c r="I155" i="5"/>
  <c r="I154" i="5"/>
  <c r="I135" i="5" l="1"/>
  <c r="I134" i="5"/>
  <c r="I114" i="5"/>
  <c r="I113" i="5"/>
  <c r="I107" i="5"/>
  <c r="I106" i="5"/>
  <c r="I105" i="5"/>
  <c r="I100" i="5" l="1"/>
  <c r="I99" i="5"/>
  <c r="I98" i="5"/>
  <c r="I91" i="5"/>
  <c r="I90" i="5"/>
  <c r="I89" i="5"/>
  <c r="I83" i="5" l="1"/>
  <c r="I82" i="5"/>
  <c r="I84" i="5"/>
  <c r="I81" i="5" s="1"/>
  <c r="I71" i="5"/>
  <c r="I70" i="5"/>
  <c r="I59" i="5"/>
  <c r="I58" i="5"/>
  <c r="I54" i="5"/>
  <c r="I48" i="5"/>
  <c r="I47" i="5"/>
  <c r="I46" i="5"/>
  <c r="I32" i="5"/>
  <c r="I29" i="5"/>
  <c r="I28" i="5"/>
  <c r="I27" i="5"/>
  <c r="I20" i="5"/>
  <c r="I23" i="5"/>
  <c r="I19" i="5"/>
  <c r="I18" i="5"/>
  <c r="I10" i="5"/>
  <c r="I285" i="1"/>
  <c r="I284" i="1"/>
  <c r="I283" i="1"/>
  <c r="I280" i="1"/>
  <c r="I274" i="1" s="1"/>
  <c r="I276" i="1"/>
  <c r="I275" i="1"/>
  <c r="I266" i="1"/>
  <c r="I265" i="1"/>
  <c r="I257" i="1"/>
  <c r="I256" i="1"/>
  <c r="I174" i="1"/>
  <c r="I173" i="1"/>
  <c r="I172" i="1"/>
  <c r="I168" i="1"/>
  <c r="I165" i="1"/>
  <c r="I162" i="1" s="1"/>
  <c r="I164" i="1"/>
  <c r="I163" i="1"/>
  <c r="I151" i="1"/>
  <c r="I144" i="1" s="1"/>
  <c r="I148" i="1"/>
  <c r="I141" i="1" s="1"/>
  <c r="I146" i="1"/>
  <c r="I145" i="1"/>
  <c r="I143" i="1"/>
  <c r="I142" i="1"/>
  <c r="I137" i="1"/>
  <c r="I134" i="1"/>
  <c r="I131" i="1"/>
  <c r="I113" i="1" s="1"/>
  <c r="I128" i="1"/>
  <c r="I121" i="1"/>
  <c r="I120" i="1"/>
  <c r="I118" i="1"/>
  <c r="I117" i="1"/>
  <c r="I115" i="1"/>
  <c r="I114" i="1"/>
  <c r="I57" i="5" l="1"/>
  <c r="I26" i="5"/>
  <c r="I45" i="5"/>
  <c r="I17" i="5"/>
  <c r="I116" i="1"/>
  <c r="I119" i="1"/>
  <c r="I91" i="1"/>
  <c r="I90" i="1"/>
  <c r="I89" i="1"/>
  <c r="I88" i="1"/>
  <c r="I87" i="1"/>
  <c r="H37" i="10" s="1"/>
  <c r="I86" i="1"/>
  <c r="H36" i="10" s="1"/>
  <c r="I79" i="1"/>
  <c r="I52" i="1" l="1"/>
  <c r="I51" i="1"/>
  <c r="I50" i="1"/>
  <c r="I49" i="1"/>
  <c r="I48" i="1"/>
  <c r="I171" i="1" l="1"/>
  <c r="F48" i="5" l="1"/>
  <c r="E10" i="5"/>
  <c r="E84" i="5" l="1"/>
  <c r="E134" i="1" l="1"/>
  <c r="F109" i="1" l="1"/>
  <c r="E109" i="1"/>
  <c r="F177" i="1"/>
  <c r="E177" i="1"/>
  <c r="E141" i="5" l="1"/>
  <c r="F141" i="5"/>
  <c r="G141" i="5"/>
  <c r="G158" i="5" l="1"/>
  <c r="G155" i="5"/>
  <c r="F158" i="5"/>
  <c r="F155" i="5"/>
  <c r="E155" i="5"/>
  <c r="E158" i="5"/>
  <c r="E134" i="5" l="1"/>
  <c r="G284" i="1" l="1"/>
  <c r="F284" i="1"/>
  <c r="F285" i="1"/>
  <c r="E90" i="5"/>
  <c r="F90" i="5"/>
  <c r="F91" i="5"/>
  <c r="E91" i="5"/>
  <c r="E79" i="1"/>
  <c r="E161" i="5" l="1"/>
  <c r="G283" i="5" l="1"/>
  <c r="F283" i="5"/>
  <c r="E283" i="5"/>
  <c r="G10" i="5"/>
  <c r="F10" i="5"/>
  <c r="F134" i="1" l="1"/>
  <c r="F137" i="1"/>
  <c r="G125" i="1"/>
  <c r="F125" i="1"/>
  <c r="E125" i="1"/>
  <c r="G79" i="1"/>
  <c r="F79" i="1"/>
  <c r="E189" i="5" l="1"/>
  <c r="E186" i="5"/>
  <c r="F20" i="5"/>
  <c r="E20" i="5"/>
  <c r="G100" i="9" l="1"/>
  <c r="G99" i="9" l="1"/>
  <c r="G86" i="9"/>
  <c r="F86" i="9"/>
  <c r="E86" i="9"/>
  <c r="G85" i="9"/>
  <c r="F85" i="9"/>
  <c r="E85" i="9"/>
  <c r="G303" i="5" l="1"/>
  <c r="G302" i="5"/>
  <c r="F303" i="5"/>
  <c r="F302" i="5"/>
  <c r="E303" i="5"/>
  <c r="E302" i="5"/>
  <c r="G114" i="5"/>
  <c r="G113" i="5"/>
  <c r="F114" i="5"/>
  <c r="F113" i="5"/>
  <c r="E114" i="5"/>
  <c r="E113" i="5"/>
  <c r="G257" i="1"/>
  <c r="G256" i="1"/>
  <c r="F257" i="1"/>
  <c r="F256" i="1"/>
  <c r="E257" i="1"/>
  <c r="E256" i="1"/>
  <c r="G173" i="1"/>
  <c r="G172" i="1"/>
  <c r="F173" i="1"/>
  <c r="F172" i="1"/>
  <c r="G164" i="1"/>
  <c r="G163" i="1"/>
  <c r="F164" i="1"/>
  <c r="F163" i="1"/>
  <c r="G146" i="1"/>
  <c r="G145" i="1"/>
  <c r="G143" i="1"/>
  <c r="G142" i="1"/>
  <c r="F146" i="1"/>
  <c r="F145" i="1"/>
  <c r="F143" i="1"/>
  <c r="F142" i="1"/>
  <c r="E128" i="1"/>
  <c r="F128" i="1"/>
  <c r="G128" i="1"/>
  <c r="G121" i="1"/>
  <c r="G120" i="1"/>
  <c r="G118" i="1"/>
  <c r="G117" i="1"/>
  <c r="G115" i="1"/>
  <c r="G114" i="1"/>
  <c r="F121" i="1"/>
  <c r="F120" i="1"/>
  <c r="F118" i="1"/>
  <c r="F117" i="1"/>
  <c r="F115" i="1"/>
  <c r="F114" i="1"/>
  <c r="G109" i="1"/>
  <c r="G106" i="1"/>
  <c r="F106" i="1"/>
  <c r="E106" i="1"/>
  <c r="G91" i="1"/>
  <c r="G90" i="1"/>
  <c r="G88" i="1"/>
  <c r="G87" i="1"/>
  <c r="F91" i="1"/>
  <c r="F90" i="1"/>
  <c r="F88" i="1"/>
  <c r="F87" i="1"/>
  <c r="G102" i="1"/>
  <c r="F102" i="1"/>
  <c r="E102" i="1"/>
  <c r="G93" i="1"/>
  <c r="F93" i="1"/>
  <c r="E93" i="1"/>
  <c r="G96" i="1"/>
  <c r="F96" i="1"/>
  <c r="E96" i="1"/>
  <c r="G89" i="1" l="1"/>
  <c r="F89" i="1"/>
  <c r="G86" i="1"/>
  <c r="F86" i="1"/>
  <c r="G123" i="9"/>
  <c r="G119" i="9"/>
  <c r="G115" i="9"/>
  <c r="G94" i="9"/>
  <c r="G81" i="9"/>
  <c r="G54" i="9"/>
  <c r="G53" i="9"/>
  <c r="G52" i="9"/>
  <c r="G51" i="9"/>
  <c r="G50" i="9"/>
  <c r="G17" i="9"/>
  <c r="G16" i="9"/>
  <c r="G15" i="9"/>
  <c r="G57" i="8"/>
  <c r="G52" i="8"/>
  <c r="G51" i="8"/>
  <c r="G38" i="8"/>
  <c r="G33" i="8"/>
  <c r="G29" i="8"/>
  <c r="G25" i="8"/>
  <c r="G21" i="8"/>
  <c r="G17" i="8"/>
  <c r="G10" i="8"/>
  <c r="G74" i="7"/>
  <c r="G68" i="7"/>
  <c r="G67" i="7"/>
  <c r="G62" i="7"/>
  <c r="G58" i="7"/>
  <c r="G50" i="7"/>
  <c r="G49" i="7"/>
  <c r="G48" i="7"/>
  <c r="G42" i="7"/>
  <c r="G41" i="7"/>
  <c r="G37" i="7"/>
  <c r="G32" i="7"/>
  <c r="G31" i="7"/>
  <c r="G26" i="7"/>
  <c r="G22" i="7"/>
  <c r="G14" i="7"/>
  <c r="G13" i="7" s="1"/>
  <c r="G10" i="7"/>
  <c r="G231" i="3"/>
  <c r="G212" i="3"/>
  <c r="G25" i="3"/>
  <c r="G22" i="3"/>
  <c r="G19" i="3"/>
  <c r="G13" i="3"/>
  <c r="G235" i="3"/>
  <c r="G234" i="3"/>
  <c r="G232" i="3"/>
  <c r="G216" i="3"/>
  <c r="G215" i="3"/>
  <c r="G213" i="3"/>
  <c r="G195" i="3"/>
  <c r="G192" i="3"/>
  <c r="G158" i="3"/>
  <c r="G101" i="3"/>
  <c r="G98" i="3"/>
  <c r="G26" i="3"/>
  <c r="G23" i="3"/>
  <c r="G20" i="3"/>
  <c r="G426" i="2"/>
  <c r="F426" i="2"/>
  <c r="E426" i="2"/>
  <c r="G321" i="2"/>
  <c r="F321" i="2"/>
  <c r="E321" i="2"/>
  <c r="G318" i="2"/>
  <c r="F318" i="2"/>
  <c r="E318" i="2"/>
  <c r="G297" i="2"/>
  <c r="F297" i="2"/>
  <c r="E297" i="2"/>
  <c r="G294" i="2"/>
  <c r="F294" i="2"/>
  <c r="E294" i="2"/>
  <c r="G182" i="2"/>
  <c r="F182" i="2"/>
  <c r="E182" i="2"/>
  <c r="G179" i="2"/>
  <c r="F179" i="2"/>
  <c r="E179" i="2"/>
  <c r="G17" i="2"/>
  <c r="F17" i="2"/>
  <c r="E17" i="2"/>
  <c r="G484" i="2"/>
  <c r="G475" i="2"/>
  <c r="G442" i="2"/>
  <c r="G418" i="2"/>
  <c r="G334" i="2"/>
  <c r="G234" i="2"/>
  <c r="G110" i="2"/>
  <c r="G113" i="2"/>
  <c r="G135" i="2"/>
  <c r="G136" i="2"/>
  <c r="G483" i="2"/>
  <c r="G474" i="2"/>
  <c r="G466" i="2"/>
  <c r="G465" i="2"/>
  <c r="G457" i="2"/>
  <c r="G456" i="2"/>
  <c r="G441" i="2"/>
  <c r="G433" i="2"/>
  <c r="G432" i="2"/>
  <c r="G419" i="2"/>
  <c r="G397" i="2"/>
  <c r="G380" i="2"/>
  <c r="G379" i="2"/>
  <c r="G370" i="2"/>
  <c r="G369" i="2"/>
  <c r="G355" i="2"/>
  <c r="G354" i="2"/>
  <c r="G344" i="2"/>
  <c r="G343" i="2"/>
  <c r="G335" i="2"/>
  <c r="G329" i="2"/>
  <c r="G326" i="2"/>
  <c r="G314" i="2"/>
  <c r="G311" i="2"/>
  <c r="G243" i="2"/>
  <c r="G235" i="2"/>
  <c r="G206" i="2"/>
  <c r="G205" i="2"/>
  <c r="G188" i="2"/>
  <c r="G187" i="2"/>
  <c r="G150" i="2"/>
  <c r="G139" i="2"/>
  <c r="G138" i="2"/>
  <c r="G129" i="2"/>
  <c r="G128" i="2"/>
  <c r="G114" i="2"/>
  <c r="G111" i="2"/>
  <c r="G103" i="2"/>
  <c r="G102" i="2"/>
  <c r="G93" i="2"/>
  <c r="G92" i="2"/>
  <c r="G78" i="2"/>
  <c r="G77" i="2"/>
  <c r="G75" i="2"/>
  <c r="G74" i="2"/>
  <c r="G72" i="2"/>
  <c r="G71" i="2"/>
  <c r="G62" i="2"/>
  <c r="G55" i="2"/>
  <c r="G54" i="2"/>
  <c r="G46" i="2"/>
  <c r="G45" i="2"/>
  <c r="G34" i="2"/>
  <c r="G25" i="2"/>
  <c r="G21" i="2"/>
  <c r="G393" i="5"/>
  <c r="G403" i="5"/>
  <c r="G402" i="5"/>
  <c r="G395" i="5"/>
  <c r="G394" i="5"/>
  <c r="G388" i="5"/>
  <c r="G387" i="5"/>
  <c r="G386" i="5"/>
  <c r="G366" i="5"/>
  <c r="G365" i="5"/>
  <c r="G364" i="5"/>
  <c r="G363" i="5"/>
  <c r="G362" i="5"/>
  <c r="G361" i="5"/>
  <c r="G348" i="5"/>
  <c r="G347" i="5"/>
  <c r="G335" i="5"/>
  <c r="G334" i="5"/>
  <c r="G324" i="5"/>
  <c r="G323" i="5"/>
  <c r="G313" i="5"/>
  <c r="G312" i="5"/>
  <c r="G244" i="5"/>
  <c r="G243" i="5"/>
  <c r="G242" i="5"/>
  <c r="G241" i="5"/>
  <c r="G240" i="5"/>
  <c r="G239" i="5"/>
  <c r="G225" i="5"/>
  <c r="G224" i="5"/>
  <c r="G223" i="5"/>
  <c r="G222" i="5"/>
  <c r="G221" i="5"/>
  <c r="G220" i="5"/>
  <c r="G206" i="5"/>
  <c r="G205" i="5"/>
  <c r="G190" i="5"/>
  <c r="G189" i="5"/>
  <c r="G187" i="5"/>
  <c r="G186" i="5"/>
  <c r="G161" i="5"/>
  <c r="G160" i="5"/>
  <c r="G157" i="5"/>
  <c r="G154" i="5"/>
  <c r="G147" i="5"/>
  <c r="G144" i="5"/>
  <c r="G135" i="5"/>
  <c r="G134" i="5"/>
  <c r="G107" i="5"/>
  <c r="G106" i="5"/>
  <c r="G105" i="5"/>
  <c r="G100" i="5"/>
  <c r="G99" i="5"/>
  <c r="G98" i="5"/>
  <c r="G89" i="5"/>
  <c r="G91" i="5"/>
  <c r="G90" i="5"/>
  <c r="G84" i="5"/>
  <c r="G81" i="5" s="1"/>
  <c r="G83" i="5"/>
  <c r="G82" i="5"/>
  <c r="G71" i="5"/>
  <c r="G70" i="5"/>
  <c r="G59" i="5"/>
  <c r="G58" i="5"/>
  <c r="G54" i="5"/>
  <c r="G48" i="5"/>
  <c r="G47" i="5"/>
  <c r="G46" i="5"/>
  <c r="G32" i="5"/>
  <c r="G29" i="5"/>
  <c r="G28" i="5"/>
  <c r="G27" i="5"/>
  <c r="G23" i="5"/>
  <c r="G20" i="5"/>
  <c r="G19" i="5"/>
  <c r="G18" i="5"/>
  <c r="G285" i="1"/>
  <c r="G137" i="1"/>
  <c r="G134" i="1"/>
  <c r="G289" i="1"/>
  <c r="G286" i="1"/>
  <c r="G280" i="1"/>
  <c r="G274" i="1" s="1"/>
  <c r="G276" i="1"/>
  <c r="G275" i="1"/>
  <c r="G266" i="1"/>
  <c r="G265" i="1"/>
  <c r="G177" i="1"/>
  <c r="G174" i="1"/>
  <c r="G168" i="1"/>
  <c r="G165" i="1"/>
  <c r="G158" i="1"/>
  <c r="G155" i="1"/>
  <c r="G151" i="1"/>
  <c r="G148" i="1"/>
  <c r="G131" i="1"/>
  <c r="G119" i="1" s="1"/>
  <c r="G122" i="1"/>
  <c r="G64" i="1"/>
  <c r="G61" i="1"/>
  <c r="G57" i="1"/>
  <c r="G54" i="1"/>
  <c r="G52" i="1"/>
  <c r="G51" i="1"/>
  <c r="G49" i="1"/>
  <c r="G48" i="1"/>
  <c r="G162" i="1" l="1"/>
  <c r="G144" i="1"/>
  <c r="G116" i="1"/>
  <c r="G47" i="1"/>
  <c r="G26" i="5"/>
  <c r="G283" i="1"/>
  <c r="G171" i="1"/>
  <c r="G141" i="1"/>
  <c r="G113" i="1"/>
  <c r="G50" i="1"/>
  <c r="G57" i="5"/>
  <c r="G45" i="5"/>
  <c r="G17" i="5"/>
  <c r="F165" i="1" l="1"/>
  <c r="F168" i="1"/>
  <c r="E57" i="1"/>
  <c r="F162" i="1" l="1"/>
  <c r="F354" i="2"/>
  <c r="F419" i="2" l="1"/>
  <c r="E91" i="1"/>
  <c r="E90" i="1"/>
  <c r="E89" i="1"/>
  <c r="E88" i="1"/>
  <c r="E87" i="1"/>
  <c r="E86" i="1"/>
  <c r="E146" i="1"/>
  <c r="E145" i="1"/>
  <c r="E143" i="1"/>
  <c r="E142" i="1"/>
  <c r="F151" i="1"/>
  <c r="E151" i="1"/>
  <c r="F155" i="1"/>
  <c r="E155" i="1"/>
  <c r="F158" i="1"/>
  <c r="E158" i="1"/>
  <c r="F148" i="1"/>
  <c r="F141" i="1" s="1"/>
  <c r="E148" i="1"/>
  <c r="E164" i="1"/>
  <c r="E163" i="1"/>
  <c r="E168" i="1"/>
  <c r="E165" i="1"/>
  <c r="E141" i="1" l="1"/>
  <c r="F144" i="1"/>
  <c r="E144" i="1"/>
  <c r="F266" i="1"/>
  <c r="F265" i="1"/>
  <c r="E266" i="1"/>
  <c r="E265" i="1"/>
  <c r="E52" i="1"/>
  <c r="E51" i="1"/>
  <c r="E64" i="1"/>
  <c r="E50" i="1" s="1"/>
  <c r="F57" i="1"/>
  <c r="F51" i="1"/>
  <c r="E61" i="1"/>
  <c r="F54" i="1"/>
  <c r="E54" i="1"/>
  <c r="F52" i="1"/>
  <c r="F49" i="1"/>
  <c r="F48" i="1"/>
  <c r="F61" i="1"/>
  <c r="F64" i="1"/>
  <c r="F47" i="1" l="1"/>
  <c r="E47" i="1"/>
  <c r="F50" i="1"/>
  <c r="F243" i="2" l="1"/>
  <c r="F235" i="2"/>
  <c r="F206" i="2"/>
  <c r="F205" i="2"/>
  <c r="F188" i="2"/>
  <c r="F187" i="2"/>
  <c r="F150" i="2"/>
  <c r="F138" i="2"/>
  <c r="F139" i="2"/>
  <c r="F136" i="2"/>
  <c r="F129" i="2"/>
  <c r="F128" i="2"/>
  <c r="F111" i="2"/>
  <c r="F114" i="2"/>
  <c r="F103" i="2"/>
  <c r="F102" i="2"/>
  <c r="F93" i="2"/>
  <c r="F92" i="2"/>
  <c r="F74" i="2"/>
  <c r="F71" i="2"/>
  <c r="F77" i="2"/>
  <c r="F72" i="2"/>
  <c r="F75" i="2"/>
  <c r="F78" i="2"/>
  <c r="F62" i="2"/>
  <c r="F55" i="2" l="1"/>
  <c r="F54" i="2"/>
  <c r="F49" i="2"/>
  <c r="F46" i="2" s="1"/>
  <c r="F45" i="2"/>
  <c r="F34" i="2"/>
  <c r="F25" i="2"/>
  <c r="F21" i="2" l="1"/>
  <c r="E344" i="2"/>
  <c r="E343" i="2"/>
  <c r="E335" i="2"/>
  <c r="E334" i="2"/>
  <c r="F344" i="2"/>
  <c r="F343" i="2"/>
  <c r="F335" i="2"/>
  <c r="F370" i="2"/>
  <c r="F369" i="2"/>
  <c r="F355" i="2"/>
  <c r="F380" i="2"/>
  <c r="F379" i="2"/>
  <c r="F397" i="2" l="1"/>
  <c r="F433" i="2"/>
  <c r="F432" i="2"/>
  <c r="F441" i="2"/>
  <c r="F457" i="2" l="1"/>
  <c r="F456" i="2"/>
  <c r="F466" i="2"/>
  <c r="F465" i="2"/>
  <c r="F474" i="2"/>
  <c r="F483" i="2"/>
  <c r="F26" i="3"/>
  <c r="F23" i="3"/>
  <c r="F20" i="3"/>
  <c r="F216" i="3" l="1"/>
  <c r="F215" i="3"/>
  <c r="F213" i="3"/>
  <c r="F234" i="3"/>
  <c r="F235" i="3"/>
  <c r="F232" i="3"/>
  <c r="F195" i="3"/>
  <c r="F192" i="3"/>
  <c r="F158" i="3"/>
  <c r="F101" i="3"/>
  <c r="F98" i="3"/>
  <c r="F13" i="3"/>
  <c r="F74" i="7" l="1"/>
  <c r="F68" i="7"/>
  <c r="F67" i="7"/>
  <c r="F62" i="7"/>
  <c r="F58" i="7"/>
  <c r="F50" i="7"/>
  <c r="F49" i="7"/>
  <c r="F48" i="7"/>
  <c r="F42" i="7"/>
  <c r="F41" i="7"/>
  <c r="F37" i="7"/>
  <c r="F32" i="7"/>
  <c r="F31" i="7"/>
  <c r="F26" i="7"/>
  <c r="F22" i="7"/>
  <c r="F14" i="7"/>
  <c r="F13" i="7" s="1"/>
  <c r="F10" i="7"/>
  <c r="F57" i="8" l="1"/>
  <c r="F52" i="8"/>
  <c r="F51" i="8"/>
  <c r="F38" i="8"/>
  <c r="F33" i="8"/>
  <c r="F29" i="8"/>
  <c r="F25" i="8"/>
  <c r="F21" i="8"/>
  <c r="F17" i="8"/>
  <c r="F10" i="8"/>
  <c r="F123" i="9" l="1"/>
  <c r="F119" i="9"/>
  <c r="F115" i="9"/>
  <c r="F100" i="9"/>
  <c r="F99" i="9" s="1"/>
  <c r="F94" i="9"/>
  <c r="F81" i="9"/>
  <c r="F54" i="9"/>
  <c r="F53" i="9"/>
  <c r="F52" i="9"/>
  <c r="F51" i="9"/>
  <c r="F50" i="9"/>
  <c r="F17" i="9"/>
  <c r="F16" i="9"/>
  <c r="F15" i="9"/>
  <c r="F329" i="2"/>
  <c r="F326" i="2"/>
  <c r="F314" i="2"/>
  <c r="F311" i="2"/>
  <c r="F134" i="5" l="1"/>
  <c r="F47" i="5" l="1"/>
  <c r="F46" i="5"/>
  <c r="F395" i="5" l="1"/>
  <c r="F394" i="5"/>
  <c r="F393" i="5"/>
  <c r="F403" i="5"/>
  <c r="F402" i="5"/>
  <c r="F388" i="5"/>
  <c r="F387" i="5"/>
  <c r="F386" i="5"/>
  <c r="F366" i="5"/>
  <c r="F365" i="5"/>
  <c r="F364" i="5"/>
  <c r="F363" i="5"/>
  <c r="F362" i="5"/>
  <c r="F361" i="5"/>
  <c r="F348" i="5"/>
  <c r="F347" i="5"/>
  <c r="F335" i="5"/>
  <c r="F334" i="5"/>
  <c r="F324" i="5"/>
  <c r="F323" i="5"/>
  <c r="F313" i="5"/>
  <c r="F312" i="5"/>
  <c r="F244" i="5" l="1"/>
  <c r="F243" i="5"/>
  <c r="F242" i="5"/>
  <c r="F241" i="5"/>
  <c r="F240" i="5"/>
  <c r="F239" i="5"/>
  <c r="F225" i="5"/>
  <c r="F224" i="5"/>
  <c r="F223" i="5"/>
  <c r="F222" i="5"/>
  <c r="F221" i="5"/>
  <c r="F220" i="5"/>
  <c r="F206" i="5"/>
  <c r="F205" i="5"/>
  <c r="F190" i="5"/>
  <c r="F189" i="5"/>
  <c r="F187" i="5"/>
  <c r="F186" i="5"/>
  <c r="F161" i="5"/>
  <c r="F160" i="5"/>
  <c r="F157" i="5"/>
  <c r="F154" i="5"/>
  <c r="F147" i="5"/>
  <c r="F144" i="5"/>
  <c r="F135" i="5"/>
  <c r="F107" i="5"/>
  <c r="F106" i="5"/>
  <c r="F105" i="5"/>
  <c r="F100" i="5"/>
  <c r="F99" i="5"/>
  <c r="F98" i="5"/>
  <c r="F84" i="5"/>
  <c r="F81" i="5" s="1"/>
  <c r="F83" i="5"/>
  <c r="F82" i="5"/>
  <c r="F71" i="5"/>
  <c r="F70" i="5"/>
  <c r="F59" i="5"/>
  <c r="F58" i="5"/>
  <c r="F54" i="5"/>
  <c r="F32" i="5"/>
  <c r="F29" i="5"/>
  <c r="F28" i="5"/>
  <c r="F27" i="5"/>
  <c r="F23" i="5"/>
  <c r="F19" i="5"/>
  <c r="F18" i="5"/>
  <c r="F89" i="5" l="1"/>
  <c r="F57" i="5"/>
  <c r="F45" i="5"/>
  <c r="F26" i="5"/>
  <c r="F17" i="5"/>
  <c r="F122" i="1"/>
  <c r="F131" i="1"/>
  <c r="F174" i="1"/>
  <c r="F275" i="1"/>
  <c r="F276" i="1"/>
  <c r="F280" i="1"/>
  <c r="F274" i="1" s="1"/>
  <c r="F286" i="1"/>
  <c r="F289" i="1"/>
  <c r="F171" i="1" l="1"/>
  <c r="F119" i="1"/>
  <c r="F116" i="1"/>
  <c r="F113" i="1"/>
  <c r="F283" i="1"/>
  <c r="E11" i="8" l="1"/>
  <c r="E94" i="3" l="1"/>
  <c r="E285" i="1"/>
  <c r="E284" i="1"/>
  <c r="E286" i="1"/>
  <c r="E289" i="1"/>
  <c r="E276" i="1"/>
  <c r="E275" i="1"/>
  <c r="E280" i="1"/>
  <c r="E173" i="1"/>
  <c r="E172" i="1"/>
  <c r="E174" i="1"/>
  <c r="E131" i="1"/>
  <c r="E122" i="1"/>
  <c r="E121" i="1"/>
  <c r="E120" i="1"/>
  <c r="E117" i="1"/>
  <c r="E114" i="1"/>
  <c r="E118" i="1"/>
  <c r="E115" i="1"/>
  <c r="E403" i="5"/>
  <c r="E402" i="5"/>
  <c r="E395" i="5"/>
  <c r="E394" i="5"/>
  <c r="E393" i="5"/>
  <c r="E388" i="5"/>
  <c r="E387" i="5"/>
  <c r="E386" i="5"/>
  <c r="E366" i="5"/>
  <c r="E365" i="5"/>
  <c r="E364" i="5"/>
  <c r="E361" i="5"/>
  <c r="E362" i="5"/>
  <c r="E363" i="5"/>
  <c r="E348" i="5"/>
  <c r="E347" i="5"/>
  <c r="E335" i="5"/>
  <c r="E334" i="5"/>
  <c r="E324" i="5"/>
  <c r="E323" i="5"/>
  <c r="E313" i="5"/>
  <c r="E312" i="5"/>
  <c r="E239" i="5"/>
  <c r="E242" i="5"/>
  <c r="E244" i="5"/>
  <c r="E243" i="5"/>
  <c r="E241" i="5"/>
  <c r="E240" i="5"/>
  <c r="E116" i="1" l="1"/>
  <c r="E113" i="1"/>
  <c r="E119" i="1"/>
  <c r="E225" i="5"/>
  <c r="E224" i="5"/>
  <c r="E223" i="5"/>
  <c r="E220" i="5"/>
  <c r="E221" i="5"/>
  <c r="E222" i="5"/>
  <c r="E206" i="5"/>
  <c r="E205" i="5"/>
  <c r="E190" i="5"/>
  <c r="E187" i="5"/>
  <c r="E160" i="5"/>
  <c r="E157" i="5"/>
  <c r="E154" i="5"/>
  <c r="E49" i="1"/>
  <c r="E48" i="1"/>
  <c r="E135" i="5"/>
  <c r="E144" i="5"/>
  <c r="E147" i="5"/>
  <c r="E100" i="5"/>
  <c r="E99" i="5"/>
  <c r="E98" i="5"/>
  <c r="E107" i="5"/>
  <c r="E106" i="5"/>
  <c r="E105" i="5"/>
  <c r="E89" i="5"/>
  <c r="E83" i="5"/>
  <c r="E82" i="5"/>
  <c r="E81" i="5"/>
  <c r="E54" i="5"/>
  <c r="E48" i="5"/>
  <c r="E59" i="5"/>
  <c r="E58" i="5"/>
  <c r="E47" i="5"/>
  <c r="E46" i="5"/>
  <c r="E71" i="5"/>
  <c r="E70" i="5"/>
  <c r="E18" i="5"/>
  <c r="E32" i="5"/>
  <c r="E29" i="5"/>
  <c r="E28" i="5"/>
  <c r="E27" i="5"/>
  <c r="E19" i="5"/>
  <c r="E23" i="5"/>
  <c r="E45" i="5" l="1"/>
  <c r="E57" i="5"/>
  <c r="E17" i="5"/>
  <c r="E26" i="5"/>
  <c r="E10" i="8"/>
  <c r="E119" i="9"/>
  <c r="E115" i="9"/>
  <c r="E100" i="9"/>
  <c r="E94" i="9"/>
  <c r="E81" i="9"/>
  <c r="E54" i="9"/>
  <c r="E53" i="9"/>
  <c r="E52" i="9"/>
  <c r="E51" i="9"/>
  <c r="E50" i="9"/>
  <c r="E17" i="9"/>
  <c r="E16" i="9"/>
  <c r="E15" i="9"/>
  <c r="E123" i="9"/>
  <c r="E52" i="8"/>
  <c r="E51" i="8"/>
  <c r="E33" i="8"/>
  <c r="E25" i="8"/>
  <c r="E57" i="8"/>
  <c r="E38" i="8"/>
  <c r="E29" i="8"/>
  <c r="E21" i="8"/>
  <c r="E17" i="8"/>
  <c r="E74" i="7"/>
  <c r="E68" i="7"/>
  <c r="E67" i="7"/>
  <c r="E58" i="7"/>
  <c r="E50" i="7"/>
  <c r="E49" i="7"/>
  <c r="E48" i="7"/>
  <c r="E42" i="7"/>
  <c r="E41" i="7"/>
  <c r="E32" i="7"/>
  <c r="E31" i="7"/>
  <c r="E26" i="7"/>
  <c r="E22" i="7"/>
  <c r="E14" i="7"/>
  <c r="E13" i="7" s="1"/>
  <c r="E10" i="7"/>
  <c r="E62" i="7"/>
  <c r="E37" i="7"/>
  <c r="E195" i="3"/>
  <c r="E192" i="3"/>
  <c r="E158" i="3"/>
  <c r="E101" i="3"/>
  <c r="E98" i="3"/>
  <c r="E13" i="3"/>
  <c r="E329" i="2"/>
  <c r="E326" i="2"/>
  <c r="E314" i="2"/>
  <c r="E311" i="2"/>
  <c r="E167" i="2"/>
  <c r="E283" i="1"/>
  <c r="E274" i="1"/>
  <c r="E171" i="1"/>
  <c r="E162" i="1"/>
  <c r="E137" i="1"/>
  <c r="E99" i="9" l="1"/>
  <c r="H23" i="1"/>
  <c r="H20" i="1" s="1"/>
</calcChain>
</file>

<file path=xl/sharedStrings.xml><?xml version="1.0" encoding="utf-8"?>
<sst xmlns="http://schemas.openxmlformats.org/spreadsheetml/2006/main" count="6172" uniqueCount="1744">
  <si>
    <t>Показатели</t>
  </si>
  <si>
    <t>мониторинга системы образования</t>
  </si>
  <si>
    <t>1.1.1.</t>
  </si>
  <si>
    <t>I. Общее образование</t>
  </si>
  <si>
    <t>1. Сведения о развитии дошкольного образования</t>
  </si>
  <si>
    <t>Уровень доступности дошкольного образования и численность населения, получающего дошкольное образование</t>
  </si>
  <si>
    <t>№ п/п</t>
  </si>
  <si>
    <t>1.1.</t>
  </si>
  <si>
    <t>Доступность дошкольного образования (отношение численности детей в возрасте от 3 до 7 лет, получивших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</si>
  <si>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процент</t>
  </si>
  <si>
    <t>Источник информации</t>
  </si>
  <si>
    <t>Единицы измерения</t>
  </si>
  <si>
    <t>Характеристика разреза наблюдения</t>
  </si>
  <si>
    <t>Российская Федерация; субъекты Российской Федерации; города и поселки городского типа, сельская местность</t>
  </si>
  <si>
    <t>Охват детей дошкольными образовательными организациями (отношение численности детей, посещающих дошкольные образовательные организации, к численности детей в возрасте от 2 месяцев до 7 лет включительно, скорректированной на численность детей соответствующих возрастов, обучающихся в общеобразовательных организациях)</t>
  </si>
  <si>
    <t>1.1.2.</t>
  </si>
  <si>
    <t>численность воспитанников образовательных организаций (включая филиалы), реализующих образовательные программы дошкольного образования</t>
  </si>
  <si>
    <t>85-к раздел 2.1, строка 01, графа 3</t>
  </si>
  <si>
    <t>численность детей в возрасте от 2 месяцев (численность детей в возрасте от 2 месяцев до 1 года принимается как 10/12 численности детей в возрасте до 1 года) до 7 лет включительно (на 1 января следующего за отчетным года)</t>
  </si>
  <si>
    <t>Демографические данные</t>
  </si>
  <si>
    <t xml:space="preserve">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 </t>
  </si>
  <si>
    <t>1.1.3.</t>
  </si>
  <si>
    <t>численность воспитанников частных образовательных организаций (включая филиалы), реализующих образовательные программы дошкольного образования</t>
  </si>
  <si>
    <t>численность воспитанников образовательных организаций (включая филиалы), реализующих образовательные программы дошкольного образования, - всего</t>
  </si>
  <si>
    <t>Российская Федерация; субъекты Российской Федерации</t>
  </si>
  <si>
    <t>Содержание образовательной деятельности и организация образовательного процесса по образовательным программам дошкольного образования</t>
  </si>
  <si>
    <t>1.2.</t>
  </si>
  <si>
    <t>1.2.1.</t>
  </si>
  <si>
    <t>Российская Федерация; города и поселки городского типа, сельская местность</t>
  </si>
  <si>
    <t>Кадровое обеспечение дошкольных образовательных организаций и оценка уровня заработной платы педагогических работников</t>
  </si>
  <si>
    <t>1.3.</t>
  </si>
  <si>
    <t>Численность воспитанников организаций дошкольного образования в расчете на 1 педагогического работника</t>
  </si>
  <si>
    <t>Удельный вес численности детей, обучающихся в группах кратковременного пребывания, в общей численности воспитанников дошкольных образовательных организаций</t>
  </si>
  <si>
    <t>1.3.1.</t>
  </si>
  <si>
    <t>численность педагогических работников (без внешних совместителей) образовательных организаций (включая филиалы), реализующих образовательные программы дошкольного образования</t>
  </si>
  <si>
    <t>85-к раздел 5.2, справка, строка 13 графа 3</t>
  </si>
  <si>
    <t>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(по государственным и муниципальным образовательным организациям)</t>
  </si>
  <si>
    <t>1.3.2.</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</si>
  <si>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дошкольного образования, - всего</t>
  </si>
  <si>
    <t>ЗП-образование строка 04, графа 3</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</si>
  <si>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образования, - всего</t>
  </si>
  <si>
    <t>ЗП-образование строка 05, графа 3</t>
  </si>
  <si>
    <t>средняя численность педагогических работников (без внешних совместителей) государственных и муниципальных образовательных организаций (включая филиалы), реализующих образовательные программы дошкольного образования</t>
  </si>
  <si>
    <t>ЗП-образование строка 04, графа 1</t>
  </si>
  <si>
    <t>средняя численность педагогических работников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t>
  </si>
  <si>
    <t>ЗП-образование строка 05, графа 1</t>
  </si>
  <si>
    <t>Российская Федерация, субъекты Российской Федерации</t>
  </si>
  <si>
    <t>Материально-техническое и информационное обеспечение дошкольных образовательных организаций</t>
  </si>
  <si>
    <t>1.4.</t>
  </si>
  <si>
    <t xml:space="preserve">Площадь помещений, используемых непосредственно для нужд дошкольных образовательных организаций, в расчете на одного воспитанника </t>
  </si>
  <si>
    <t>1.4.1.</t>
  </si>
  <si>
    <t>общая площадь помещений, реально используемых непосредственно для нужд дошкольных образовательных организаций (включая филиалы; без учета организаций, деятельность которых приостановлена; без учета площади помещений, сданных в аренду (субаренду))</t>
  </si>
  <si>
    <t>85-к раздел 4.1, строка 02, графа 3</t>
  </si>
  <si>
    <t xml:space="preserve"> 85-к раздел 4.1, строка 02 графа 6</t>
  </si>
  <si>
    <t>численность воспитанников дошкольных образовательных организаций (включая филиалы)</t>
  </si>
  <si>
    <t xml:space="preserve"> (85-к раздел 2.1, строка 01, графа 3)</t>
  </si>
  <si>
    <t>1.4.2.</t>
  </si>
  <si>
    <t>число дошкольных образовательных организаций с учетом находящихся на капитальном ремонте (включая филиалы), имеющих водоснабжение</t>
  </si>
  <si>
    <t>85-к раздел 4.2, строка 05, графа 3</t>
  </si>
  <si>
    <t>число дошкольных образовательных организаций с учетом находящихся на капитальном ремонте (включая филиалы), имеющих центральное отопление</t>
  </si>
  <si>
    <t>85-к раздел 4.2, строка 04, графа 3</t>
  </si>
  <si>
    <t>число дошкольных образовательных организаций с учетом находящихся на капитальном ремонте (включая филиалы), имеющих канализацию</t>
  </si>
  <si>
    <t>85-к раздел 4.2, строка 06, графа 3</t>
  </si>
  <si>
    <t>число дошкольных образовательных организаций с учетом находящихся на капитальном ремонте (включая филиалы)</t>
  </si>
  <si>
    <t>85-к раздел 1.2, строка 01-04, графа 3</t>
  </si>
  <si>
    <t>Российская Федерация, субъекты Российской Федерации; города и поселки городского типа, сельская местность</t>
  </si>
  <si>
    <t>Удельный вес числа организаций, имеющих водоснабжение, центральное отопление, канализацию, в общем числе дошкольных образовательных организаций:</t>
  </si>
  <si>
    <t>водоснабжение</t>
  </si>
  <si>
    <t>центральное отопление</t>
  </si>
  <si>
    <t xml:space="preserve">канализацию </t>
  </si>
  <si>
    <t>Удельный вес числа организаций, имеющих физкультурные залы, в общем числе дошкольных образовательных организаций</t>
  </si>
  <si>
    <t>1.4.3.</t>
  </si>
  <si>
    <t>число дошкольных образовательных организаций с учетом находящихся на капитальном ремонте (включая филиалы), имеющих физкультурные залы</t>
  </si>
  <si>
    <t>85-к раздел 4.1, строка 08</t>
  </si>
  <si>
    <t>Удельный вес числа организаций, имеющих закрытые плавательные бассейны, в общем числе дошкольных образовательных организаций</t>
  </si>
  <si>
    <t>1.4.4.</t>
  </si>
  <si>
    <t>число дошкольных образовательных организаций (включая филиалы), имеющих закрытые плавательные бассейны</t>
  </si>
  <si>
    <t>85-к раздел 4.1, строка 09</t>
  </si>
  <si>
    <t>число дошкольных образовательных организаций (включая филиалы)</t>
  </si>
  <si>
    <t>Число персональных компьютеров, доступных для использования детьми, в расчете на 100 воспитанников дошкольных образовательных организаций</t>
  </si>
  <si>
    <t>1.4.5.</t>
  </si>
  <si>
    <t>число персональных компьютеров в дошкольных образовательных организациях, с учетом находящихся на капитальном ремонте, доступных для использования детьми (включая филиалы)</t>
  </si>
  <si>
    <t>85-к раздел 4.2, строка 11</t>
  </si>
  <si>
    <t>численность воспитанников дошкольных образовательных организаций (включая филиалы) в возрасте 3 года и старше</t>
  </si>
  <si>
    <t>85-к раздел 2.2, строка 01, графы 7, 8, 9, 10, 11</t>
  </si>
  <si>
    <t>Условия получения дошкольного образования лицами с ограниченными возможностями здоровья и инвалидами</t>
  </si>
  <si>
    <t>1.5.</t>
  </si>
  <si>
    <t xml:space="preserve">Удельный вес численности детей с ограниченными возможностями здоровья в общей численности воспитанников дошкольных образовательных организаций </t>
  </si>
  <si>
    <t>1.5.1.</t>
  </si>
  <si>
    <t>численность детей с ограниченными возможностями здоровья, обучающихся в образовательных организациях (включая филиалы), реализующих образовательные программы дошкольного образования</t>
  </si>
  <si>
    <t>85-к раздел 2.1, строка 01, графа 5</t>
  </si>
  <si>
    <t>раздел 2.1, строка 01, графа 3</t>
  </si>
  <si>
    <t>Российская Федерация; города и поселки городского типа; сельская местность</t>
  </si>
  <si>
    <t xml:space="preserve">Удельный вес численности детей-инвалидов в общей численности воспитанников дошкольных образовательных организаций </t>
  </si>
  <si>
    <t>1.5.2.</t>
  </si>
  <si>
    <t>численность детей-инвалидов, обучающихся в образовательных организациях (включая филиалы), реализующих образовательные программы дошкольного образования</t>
  </si>
  <si>
    <t>85-к раздел 2.2, строка 05</t>
  </si>
  <si>
    <t>Российская Федерация; субъекты Российской Федерации; города и поселки городского типа; сельская местность</t>
  </si>
  <si>
    <t>Состояние здоровья лиц, обучающихся по программам дошкольного образования</t>
  </si>
  <si>
    <t>1.6.</t>
  </si>
  <si>
    <t xml:space="preserve">Пропущено дней по болезни одним ребенком в дошкольной образовательной организации в год </t>
  </si>
  <si>
    <t>1.6.1.</t>
  </si>
  <si>
    <t>число дней, пропущенных воспитанниками образовательных организаций (включая филиалы), реализующих образовательные программы дошкольного образования, по болезни</t>
  </si>
  <si>
    <t>85-к раздел 2.3, строка 03, графа 3</t>
  </si>
  <si>
    <t>среднегодовая численность воспитанников образовательных организаций (включая филиалы), реализующих образовательные программы дошкольного образования</t>
  </si>
  <si>
    <t>85-к раздел 2.5, строка 10</t>
  </si>
  <si>
    <t>Российская Федерация</t>
  </si>
  <si>
    <t>Изменение сети дошкольных образовательных организаций (в том числе ликвидация и реорганизация организаций, осуществляющих образовательную деятельность)</t>
  </si>
  <si>
    <t>1.7.</t>
  </si>
  <si>
    <t>Темп роста числа дошкольных образовательных организаций</t>
  </si>
  <si>
    <t>1.7.1.</t>
  </si>
  <si>
    <t>Финансово-экономическая деятельность дошкольных образовательных организаций</t>
  </si>
  <si>
    <t>1.8.</t>
  </si>
  <si>
    <t xml:space="preserve">Общий объем финансовых средств, поступивших в дошкольные образовательные организации, в расчете на одного воспитанника </t>
  </si>
  <si>
    <t>1.8.1.</t>
  </si>
  <si>
    <t>общий объем финансирования дошкольных образовательных организаций (включая филиалы)</t>
  </si>
  <si>
    <t>85-к раздел 5.1, строка 01, графа 3</t>
  </si>
  <si>
    <t>среднегодовая численность воспитанников дошкольных образовательных организаций (включая филиалы)</t>
  </si>
  <si>
    <t>1.8.2.</t>
  </si>
  <si>
    <t>Удельный вес финансовых средств от приносящей доход деятельности в общем объеме финансовых средств дошкольных образовательных организаций</t>
  </si>
  <si>
    <t>объем финансовых средств от приносящей доход деятельности (внебюджетных средств), поступивших в дошкольные образовательные организации (включая филиалы)</t>
  </si>
  <si>
    <t>85-к раздел 5.1, строка 06, графа 3</t>
  </si>
  <si>
    <t>Создание безопасных условий при организации образовательного процесса в дошкольных образовательных организациях</t>
  </si>
  <si>
    <t>1.9.</t>
  </si>
  <si>
    <t xml:space="preserve">Удельный вес числа организаций, здания которых находятся в аварийном состоянии, в общем числе дошкольных образовательных организаций </t>
  </si>
  <si>
    <t>1.9.1.</t>
  </si>
  <si>
    <t>число дошкольных образовательных организаций с учетом находящихся на капитальном ремонте (включая филиалы), здания которых находятся в аварийном состоянии</t>
  </si>
  <si>
    <t>85-к раздел 4.2, строка 08</t>
  </si>
  <si>
    <t>Удельный вес числа организаций, здания которых требуют капитального ремонта, в общем числе дошкольных образовательных организаций</t>
  </si>
  <si>
    <t>1.9.2.</t>
  </si>
  <si>
    <t>число дошкольных образовательных организаций (включая филиалы), здания которых требуют капитального ремонта</t>
  </si>
  <si>
    <t xml:space="preserve">Российская Федерация; субъекты Российской Федерации; города и поселки городского типа; сельская местность </t>
  </si>
  <si>
    <t>2. Сведения о развитии начального общего образования, основного общего образования и среднего общего образования</t>
  </si>
  <si>
    <t>Уровень доступности начального общего образования, основного общего образования и среднего общего образования и численность населения, получающего начальное общее образование, основное общее образование и среднее общее образование</t>
  </si>
  <si>
    <t>2.1.</t>
  </si>
  <si>
    <t>Охват детей начальным общим, основным общим и средним общим образованием (отношение численности учащихся, осваивающих образовательные программы начального общего, основного общего или среднего общего образования, к численности детей в возрасте 7 - 17 лет)</t>
  </si>
  <si>
    <t>2.1.1.</t>
  </si>
  <si>
    <t>численность обучающихся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 исключением вечерних (сменных) общеобразовательных организаций)</t>
  </si>
  <si>
    <t>численность обучающихся вечерних (сменных) общеобразовательных организаций (включая филиалы)</t>
  </si>
  <si>
    <t>численность обучающихся в отделениях на базе основного общего образования образовательных организаций, реализующих образовательные программы среднего профессионального образования</t>
  </si>
  <si>
    <t>численность обучающихся, осваивающих образовательные программы на базе основного общего образования в образовательных организациях, реализующих образовательные программы среднего профессионального образования</t>
  </si>
  <si>
    <t>численность постоянного населения в возрасте 7 - 17 лет (на 1 января следующего за отчетным года)</t>
  </si>
  <si>
    <t>демографические данные</t>
  </si>
  <si>
    <t>Российская Федерация; субъекты Российской Федерации.</t>
  </si>
  <si>
    <t>Удельный вес численности учащихся общеобразовательных организаций, обучающихся в соответствии с федеральным государственным образовательным стандартом, в общей численности учащихся общеобразовательных организаций</t>
  </si>
  <si>
    <t>2.1.2.</t>
  </si>
  <si>
    <t>численность обучающихся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осваивающих образовательные программы, соответствующие требованиям федеральных государственных образовательных стандартов начального общего, основного общего и среднего общего образования</t>
  </si>
  <si>
    <t>дополнительная информация</t>
  </si>
  <si>
    <t>численность учащихся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</si>
  <si>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</si>
  <si>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Оценка родителями учащихся общеобразовательных организаций возможности выбора общеобразовательной организации (оценка удельного веса численности родителей учащихся, отдавших своих детей в конкретную школу по причине отсутствия других вариантов для выбора, в общей численности родителей учащихся общеобразовательных организаций)</t>
  </si>
  <si>
    <t>2.1.3.</t>
  </si>
  <si>
    <t>Содержание образовательной деятельности и организация образовательного процесса по образовательным программам начального общего образования, основного общего образования и среднего общего образования</t>
  </si>
  <si>
    <t>2.2.</t>
  </si>
  <si>
    <t>Удельный вес численности лиц, занимающихся во вторую и третью смены, в общей численности учащихся общеобразовательных организаций</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</si>
  <si>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занимающихся во вторую смену</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</si>
  <si>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занимающихся в третью смену</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</si>
  <si>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</si>
  <si>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</si>
  <si>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2.2.1.</t>
  </si>
  <si>
    <t xml:space="preserve">Удельный вес численности лиц, углубленно изучающих отдельные предметы, в общей численности учащихся общеобразовательных организаций </t>
  </si>
  <si>
    <t>2.2.2.</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</si>
  <si>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 с углубленным изучением отдельных предметов</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</si>
  <si>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t>
  </si>
  <si>
    <t>Кадровое обеспечение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 а также оценка уровня заработной платы педагогических работников</t>
  </si>
  <si>
    <t>Численность учащихся в общеобразовательных организациях в расчете на 1 педагогического работника</t>
  </si>
  <si>
    <t>численность учащихся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 исключением вечерних (сменных) общеобразовательных организаций)</t>
  </si>
  <si>
    <t>численность педагогических работников (без внешних совместителей)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 исключением вечерних (сменных) общеобразовательных организаций)</t>
  </si>
  <si>
    <t>2.3.</t>
  </si>
  <si>
    <t>2.3.1.</t>
  </si>
  <si>
    <t>Россия,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</si>
  <si>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Удельный вес численности учителей в возрасте до 35 лет в общей численности учителей общеобразовательных организаций</t>
  </si>
  <si>
    <t>2.3.2.</t>
  </si>
  <si>
    <t>численность учителей (без внешних совместителей)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в возрасте до 35 лет</t>
  </si>
  <si>
    <t>общая численность учителей (без внешних совместителей)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</si>
  <si>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83-РИК (сводная) раздел 2.1, строка 08, графа 3</t>
  </si>
  <si>
    <t>2.3.3.</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</si>
  <si>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 всего</t>
  </si>
  <si>
    <t>ЗП-образование, строка 05, графа 3</t>
  </si>
  <si>
    <t>фонд начисленной заработной платы учителей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 всего</t>
  </si>
  <si>
    <t>ЗП-образование строка 06, графа 3</t>
  </si>
  <si>
    <t>средняя численность учителей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t>
  </si>
  <si>
    <t>ЗП-образование строка 06, графа 1</t>
  </si>
  <si>
    <t>среднемесячная номинальная начисленная заработная плата в субъекте Российской Федерации</t>
  </si>
  <si>
    <t>П-4</t>
  </si>
  <si>
    <t>из них учителей</t>
  </si>
  <si>
    <t>всего</t>
  </si>
  <si>
    <t>Материально-техническое и информационное обеспечение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t>
  </si>
  <si>
    <t>2.4.</t>
  </si>
  <si>
    <t xml:space="preserve">Общая площадь всех помещений общеобразовательных организаций в расчете на одного учащегося </t>
  </si>
  <si>
    <t>2.4.1.</t>
  </si>
  <si>
    <t>общая площадь помещений общеобразовательных организаций (включая филиалы; без учета находящихся на капитальном ремонте; без вечерних (сменных) общеобразовательных организаций)</t>
  </si>
  <si>
    <t>общая площадь помещений вечерних (сменных) общеобразовательных организаций (включая филиалы)</t>
  </si>
  <si>
    <t>76-РИК, раздел 1.2, строка 01, графа 5</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</si>
  <si>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 занимающихся во вторую смену</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</si>
  <si>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 занимающихся в третью смену</t>
  </si>
  <si>
    <t>численность учащихся вечерних (сменных) общеобразовательных организаций (включая филиалы), обучающихся по очной форме обучения</t>
  </si>
  <si>
    <t>СВ-1 раздел 3, строка 08, графа 4</t>
  </si>
  <si>
    <t>численность учащихся вечерних (сменных) общеобразовательных организаций (включая филиалы), обучающихся по заочной форме обучения</t>
  </si>
  <si>
    <t>СВ-1 раздел 3, строка 08, графа 6</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</si>
  <si>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</si>
  <si>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Удельный вес числа организаций, имеющих водопровод, центральное отопление, канализацию,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</si>
  <si>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t>
  </si>
  <si>
    <t>водопровод</t>
  </si>
  <si>
    <t>канализацию</t>
  </si>
  <si>
    <t>число вечерних (сменных) общеобразовательных организаций (включая филиалы), имеющих:</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</si>
  <si>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t>
  </si>
  <si>
    <t>число вечерних (сменных образовательных организаций (включая филиалы)</t>
  </si>
  <si>
    <t>СВ-1 раздел 8, строка 01, графа 3</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</si>
  <si>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</si>
  <si>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2.4.2.</t>
  </si>
  <si>
    <t>2.4.3.</t>
  </si>
  <si>
    <t>число компьютеров, используемых в учебных целях, в общеобразовательных организациях (включая филиалы; без учета находящихся на капитальном ремонте; без вечерних (сменных) общеобразовательных организаций)</t>
  </si>
  <si>
    <t>число компьютеров, используемых в учебных целях, имеющих доступ к Интернету, в общеобразовательных организациях (включая филиалы; без учета находящихся на капитальном ремонте; без вечерних (сменных) общеобразовательных организаций)</t>
  </si>
  <si>
    <t>число компьютеров, используемых в учебных целях, в вечерних (сменных) общеобразовательных организациях (включая филиалы)</t>
  </si>
  <si>
    <t>СВ-1 раздел 8, строка 51, графа 3</t>
  </si>
  <si>
    <t>число компьютеров, используемых в учебных целях, имеющих доступ к Интернету, в вечерних (сменных) общеобразовательных организациях (включая филиалы)</t>
  </si>
  <si>
    <t>численность учащихся вечерних (сменных) общеобразовательных организаций (включая филиалы)</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</si>
  <si>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</si>
  <si>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Число персональных компьютеров, используемых в учебных целях, в расчете на 100 учащихся общеобразовательных организаций:</t>
  </si>
  <si>
    <t xml:space="preserve">имеющих доступ к Интернету </t>
  </si>
  <si>
    <t>Удельный вес числа общеобразовательных организаций, имеющих скорость подключения к сети Интернет от 1 Мбит/с и выше, в общем числе общеобразовательных организаций, подключенных к сети Интернет</t>
  </si>
  <si>
    <t>2.4.4.</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</si>
  <si>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скорость подключения к сети Интернет от 1 Мбит/с и выше</t>
  </si>
  <si>
    <t>число вечерних (сменных) общеобразовательных организаций (включая филиалы), имеющих скорость подключения к сети Интернет от 1 Мбит/с и выше</t>
  </si>
  <si>
    <t>СВ-1 раздел 8, строка 63, 64, графа 3</t>
  </si>
  <si>
    <t>число вечерних (сменных) общеобразовательных организаций (включая филиалы)</t>
  </si>
  <si>
    <t>Условия получения начального общего, основного общего и среднего общего образования лицами с ограниченными возможностями здоровья и инвалидами</t>
  </si>
  <si>
    <t>Удельный вес численности детей с ограниченными возможностями здоровья, обучающихся в классах, не являющихся специальными (коррекционными), общеобразовательных организаций, в общей численности детей с ограниченными возможностями здоровья, обучающихся в общеобразовательных организациях</t>
  </si>
  <si>
    <t>численность обучающихся с ограниченными возможностями здоровья в классах, не являющихся специальными (коррекционными),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Показывается численность обучающихся с ограниченными возможностями здоровья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исключая специальные (коррекционные) образовательные организации и классы для обучающихся, воспитанников с ограниченными возможностями здоровья</t>
  </si>
  <si>
    <t>численность обучающихся с ограниченными возможностями здоровья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</si>
  <si>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2.5.1.</t>
  </si>
  <si>
    <t>2.5.</t>
  </si>
  <si>
    <t>Удельный вес численности детей-инвалидов, обучающихся в классах, не являющихся специальными (коррекционными), общеобразовательных организаций, в общей численности детей-инвалидов, обучающихся в общеобразовательных организациях</t>
  </si>
  <si>
    <t>2.5.2.</t>
  </si>
  <si>
    <t>численность детей-инвалидов, обучающихся в классах, не являющихся специальными (коррекционными),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Показывается численность детей-инвалидов, обучающихся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исключая специальные (коррекционные) образовательные организации и классы для обучающихся, воспитанников с ограниченными возможностями здоровья</t>
  </si>
  <si>
    <t>численность детей-инвалидов, обучающихся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</si>
  <si>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2.6.</t>
  </si>
  <si>
    <t>Результаты аттестации лиц, обучающихся по образовательным программам начального общего образования, основного общего образования и среднего общего образования</t>
  </si>
  <si>
    <t>база данных результатов ЕГЭ</t>
  </si>
  <si>
    <t>2.6.1.</t>
  </si>
  <si>
    <t>2.6.2.</t>
  </si>
  <si>
    <t>русский язык</t>
  </si>
  <si>
    <t>математика</t>
  </si>
  <si>
    <t>2.6.3.</t>
  </si>
  <si>
    <t>Среднее значение количества баллов по государственной итоговой аттестации (далее - ГИА), полученных выпускниками, освоившими образовательные программы основного общего образования: по математике; по русскому языку</t>
  </si>
  <si>
    <t>2.6.4.</t>
  </si>
  <si>
    <t>среднее значение тестовых баллов, полученных выпускниками, завершившими обучение по образовательным программам основного общего образования, по результатам ГИА по предмету i</t>
  </si>
  <si>
    <t>база данных результатов ГИА</t>
  </si>
  <si>
    <t>2.6.5.</t>
  </si>
  <si>
    <t>Состояние здоровья лиц, обучающихся по основным общеобразовательным программам, здоровьесберегающие условия, условия организации физкультурно-оздоровительной и спортивной работы в общеобразовательных организациях, а также в иных организациях, осуществляющих образовательную деятельность в части реализации основных общеобразовательных программ</t>
  </si>
  <si>
    <t>2.7.</t>
  </si>
  <si>
    <t xml:space="preserve">Удельный вес лиц, обеспеченных горячим питанием, в общей численности обучающихся общеобразовательных организаций </t>
  </si>
  <si>
    <t>2.7.1.</t>
  </si>
  <si>
    <t>численность обучающихся вечерних (сменных) общеобразовательных организаций (включая филиалы), пользующихся горячим питанием</t>
  </si>
  <si>
    <t>СВ-1 раздел 8, строка 23, графа 3</t>
  </si>
  <si>
    <t>численность обучающихся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за исключением вечерних (сменных) общеобразовательных организаций)</t>
  </si>
  <si>
    <t>2.7.2.</t>
  </si>
  <si>
    <t>Удельный вес числа организаций, имеющих логопедический пункт или логопедический кабинет, в общем числе общеобразовательных организаций</t>
  </si>
  <si>
    <t>число общеобразовательных организаций (включая филиалы), имеющих логопедический пункт или логопедический кабинет (без вечерних (сменных) общеобразовательных организаций)</t>
  </si>
  <si>
    <t>76-РИК раздел 1.1, строка 01, графа 5</t>
  </si>
  <si>
    <t>2.7.3.</t>
  </si>
  <si>
    <t xml:space="preserve">Удельный вес числа организаций, имеющих физкультурные залы, в общем числе общеобразовательных организаций </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</si>
  <si>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физкультурные залы</t>
  </si>
  <si>
    <t>число вечерних (сменных) общеобразовательных организаций (включая филиалы), имеющих физкультурные залы</t>
  </si>
  <si>
    <t>2.7.4.</t>
  </si>
  <si>
    <t xml:space="preserve">Удельный вес числа организаций, имеющих плавательные бассейны, в общем числе общеобразовательных организаций </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</si>
  <si>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плавательные бассейны</t>
  </si>
  <si>
    <t>число вечерних (сменных) общеобразовательных организаций (включая филиалы), имеющих плавательные бассейны</t>
  </si>
  <si>
    <t>Изменение сети организаций, осуществляющих образовательную деятельность по основным общеобразовательным программам (в том числе ликвидация и реорганизация организаций, осуществляющих образовательную деятельность)</t>
  </si>
  <si>
    <t>2.8.</t>
  </si>
  <si>
    <t>Темп роста числа общеобразовательных организаций</t>
  </si>
  <si>
    <t>2.8.1.</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</si>
  <si>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в отчетном году t</t>
  </si>
  <si>
    <t>число вечерних (сменных) общеобразовательных организаций (включая филиалы) в отчетном году t</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</si>
  <si>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в году t-1, предшествовавшем отчетному году t</t>
  </si>
  <si>
    <t>число вечерних (сменных) общеобразовательных организаций (включая филиалы) в году t-1, предшествовавшем отчетному году t</t>
  </si>
  <si>
    <t>Финансово-экономическая деятельность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t>
  </si>
  <si>
    <t>2.9.</t>
  </si>
  <si>
    <t xml:space="preserve">Общий объем финансовых средств, поступивших в общеобразовательные организации, в расчете на одного учащегося </t>
  </si>
  <si>
    <t>объем финансирования государственных и муниципальных общеобразовательных организаций (включая филиалы)</t>
  </si>
  <si>
    <t>объем финансирования частных общеобразовательных организаций (включая филиалы)</t>
  </si>
  <si>
    <t>среднегодовая численность учащихся государственных и муниципальных общеобразовательных организаций (включая филиалы)</t>
  </si>
  <si>
    <t>среднегодовая численность учащихся частных общеобразовательных организаций (включая филиалы)</t>
  </si>
  <si>
    <t>2.9.2.</t>
  </si>
  <si>
    <t>2.9.1.</t>
  </si>
  <si>
    <t>Российская Федерация; субъекты Российской Федерации; государственные и муниципальные организации; частные организации</t>
  </si>
  <si>
    <t>Удельный вес финансовых средств от приносящей доход деятельности в общем объеме финансовых средств общеобразовательных организаций</t>
  </si>
  <si>
    <t>объем средств от приносящей доход деятельности (внебюджетных средств), поступивших в государственные и муниципальные общеобразовательные организации (включая филиалы)</t>
  </si>
  <si>
    <t>объем средств от приносящей доход деятельности (внебюджетных средств), поступивших в частные общеобразовательные организации (включая филиалы)</t>
  </si>
  <si>
    <t>общий объем финансирования государственных и муниципальных общеобразовательных организаций (включая филиалы)</t>
  </si>
  <si>
    <t>общий объем финансирования частных общеобразовательных организаций (включая филиалы)</t>
  </si>
  <si>
    <t>Создание безопасных условий при организации образовательного процесса в общеобразовательных организациях</t>
  </si>
  <si>
    <t>2.10.</t>
  </si>
  <si>
    <t xml:space="preserve">Удельный вес числа организаций, имеющих пожарные краны и рукава, в общем числе общеобразовательных организаций </t>
  </si>
  <si>
    <t>2.10.1.</t>
  </si>
  <si>
    <t>Удельный вес числа организаций, имеющих дымовые извещатели, в общем числе общеобразовательных организаций</t>
  </si>
  <si>
    <t>2.10.2.</t>
  </si>
  <si>
    <t>Удельный вес числа организаций, имеющих "тревожную кнопку", в общем числе общеобразовательных организаций</t>
  </si>
  <si>
    <t>2.10.3.</t>
  </si>
  <si>
    <t>Удельный вес числа организаций, имеющих охрану,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</si>
  <si>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охрану</t>
  </si>
  <si>
    <t>число вечерних (сменных) общеобразовательных организаций (включая филиалы), имеющих охрану</t>
  </si>
  <si>
    <t>СВ-1 раздел 8, строка 76, графа 3</t>
  </si>
  <si>
    <t>2.10.4.</t>
  </si>
  <si>
    <t>2.10.5.</t>
  </si>
  <si>
    <t>Удельный вес числа организаций, имеющих систему видеонаблюдения, в общем числе общеобразовательных организаций</t>
  </si>
  <si>
    <t>2.10.6.</t>
  </si>
  <si>
    <t>Удельный вес числа организаций, здания которых находятся в аварийном состоянии,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</si>
  <si>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здания которых находятся в аварийном состоянии</t>
  </si>
  <si>
    <t>число вечерних (сменных) общеобразовательных организаций, здания которых находятся в аварийном состоянии (включая филиалы)</t>
  </si>
  <si>
    <t>СВ-1 раздел 8, строка 31, графа 3</t>
  </si>
  <si>
    <t>2.10.7.</t>
  </si>
  <si>
    <t>Удельный вес числа организаций, здания которых требуют капитального ремонта,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</si>
  <si>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здания которых требуют капитального ремонта</t>
  </si>
  <si>
    <t>число вечерних (сменных) общеобразовательных организаций (включая филиалы), здания которых требуют капитального ремонта</t>
  </si>
  <si>
    <t>СВ-1 раздел 8, строка 28, графа 3</t>
  </si>
  <si>
    <t>II. Профессиональное образование</t>
  </si>
  <si>
    <t>3. Сведения о развитии среднего профессионального образования</t>
  </si>
  <si>
    <t>3.1.</t>
  </si>
  <si>
    <t>Уровень доступности среднего профессионального образования и численность населения, получающего среднее профессиональное образование</t>
  </si>
  <si>
    <t>3.1.1.</t>
  </si>
  <si>
    <t>Охват молодежи образовательными программами среднего профессионального образования - программами подготовки квалифицированных рабочих, служащих (отношение численности обучающихся по программам подготовки квалифицированных рабочих, служащих к численности населения в возрасте 15 - 17 лет)</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</si>
  <si>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</si>
  <si>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1, строка 01, графа 17</t>
  </si>
  <si>
    <t>1 (профтех) раздел 2, строка 01, графа 6</t>
  </si>
  <si>
    <t>численность населения в возрасте 15 - 17 лет (на 1 января следующего за отчетным года)</t>
  </si>
  <si>
    <t>Охват молодежи образовательными программами среднего профессионального образования - программами подготовки специалистов среднего звена (отношение численности обучающихся по программам подготовки специалистов среднего звена к численности населения в возрасте 15 - 19 лет)</t>
  </si>
  <si>
    <t>3.1.2.</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</si>
  <si>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t>
  </si>
  <si>
    <t>СПО-1 раздел 2.1.2, строка 03, графа 17 – все формы обучения</t>
  </si>
  <si>
    <t>численность населения в возрасте 15 - 19 лет (на 1 января следующего за отчетным года)</t>
  </si>
  <si>
    <t>3.2.</t>
  </si>
  <si>
    <t>Содержание образовательной деятельности и организация образовательного процесса по образовательным программам среднего профессионального образования</t>
  </si>
  <si>
    <t>Удельный вес численности лиц, освоивших образовательные программы среднего профессионального образования - программы подготовки специалистов среднего звена с использованием дистанционных образовательных технологий, электронного обучения, в общей численности выпускников, получивших среднее профессиональное образование по программам подготовки специалистов среднего звена</t>
  </si>
  <si>
    <t>3.2.1.</t>
  </si>
  <si>
    <t>численность выпускников, освоивших образовательные программы среднего профессионального образования - программы подготовки специалистов среднего звена с использованием дистанционных образовательных технологий</t>
  </si>
  <si>
    <t>СПО-1 раздел 2.1.2, строка 07 – все формы обучения</t>
  </si>
  <si>
    <t>численность выпускников, освоивших образовательные программы среднего профессионального образования - программы подготовки специалистов среднего звена</t>
  </si>
  <si>
    <t>СПО-1 раздел 2.1.2, строка 03, графа 25 – все формы обучения</t>
  </si>
  <si>
    <t>3.2.2.</t>
  </si>
  <si>
    <t>Удельный вес численности лиц, обучающихся по образовательным программам среднего профессионального образования - программам подготовки квалифицированных рабочих, служащих на базе основного общего образования или среднего общего образования, в общей численности студентов, обучающихся по образовательным программам среднего профессионального образования - программам подготовки квалифицированных рабочих, служащих: на базе основного общего образования; на базе среднего общего образования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</si>
  <si>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отделениях на базе основного общего образования (за счет средств учредителя и по договорам, но без учета краткосрочно обученных)</t>
  </si>
  <si>
    <t>1 (профтех) раздел 1, строка 04, графа 17</t>
  </si>
  <si>
    <t>1 (профтех) раздел 2, строка 03, графа 6</t>
  </si>
  <si>
    <t xml:space="preserve">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 (за исключением численности обучающихся в профессиональных училищах уголовно-исполнительной системы и специальных профессиональных училищах) </t>
  </si>
  <si>
    <t>1 (профтех) (раздел 1, строка 09, графа 17</t>
  </si>
  <si>
    <t>1 (профтех) раздел 2, строка 16, графа 6</t>
  </si>
  <si>
    <t>1 (профтех) раздел 1, строка 10, графа 17</t>
  </si>
  <si>
    <t>1 (профтех) раздел 2, строка 17, графа 6</t>
  </si>
  <si>
    <t>на базе среднего общего образования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</si>
  <si>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отделениях на базе среднего общего образования (за счет средств учредителя и по договорам, но без учета краткосрочно обученных)</t>
  </si>
  <si>
    <t>1 (профтех) раздел 1, строка 03, графа 17</t>
  </si>
  <si>
    <t>1 (профтех) раздел 2, строка 02, графа 6</t>
  </si>
  <si>
    <t>Удельный вес численности лиц,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 или среднего общего образования,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 на базе среднего общего образования</t>
  </si>
  <si>
    <t>3.2.3.</t>
  </si>
  <si>
    <t>на базе основного общего образования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</si>
  <si>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</si>
  <si>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среднего общего образования</t>
  </si>
  <si>
    <t>3.3.4.</t>
  </si>
  <si>
    <t>3.2.4.</t>
  </si>
  <si>
    <t>Удельный вес численности студентов очной формы обучения в общей их численности студентов, обучающихся по образовательным программам среднего профессионального образования - программам подготовки квалифицированных рабочих, служащих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</si>
  <si>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(за счет средств учредителя и по договорам, но без учета краткосрочно обученных)</t>
  </si>
  <si>
    <t>1 (профтех) раздел 4, строка 01, графа 8</t>
  </si>
  <si>
    <t>1 (профтех) раздел 4, строка 01, графа 12</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</si>
  <si>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 (за исключением численности обучающихся в профессиональных училищах уголовно-исполнительной системы и специальных профессиональных училищах)</t>
  </si>
  <si>
    <t>1 (профтех) раздел 4, строка 01, графа 3</t>
  </si>
  <si>
    <t>1 (профтех) раздел 4, строка 01, графа 10</t>
  </si>
  <si>
    <t>1 (профтех) раздел 4, строка 01, графа 14</t>
  </si>
  <si>
    <t>1 (профтех) раздел 4, строка 01, графа 15</t>
  </si>
  <si>
    <t>3.2.5.</t>
  </si>
  <si>
    <t xml:space="preserve">Структура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очная форма обучения; очно-заочная форма обучения; заочная форма обучения </t>
  </si>
  <si>
    <t>очная форма обучения;</t>
  </si>
  <si>
    <t>заочная форма обучения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</si>
  <si>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очной форме обучения</t>
  </si>
  <si>
    <t>СПО-1 раздел 2.1.2, строка 03, графа 17 – 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</si>
  <si>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очно-заочной форме обучения</t>
  </si>
  <si>
    <t>СПО-1 раздел 2.1.2 строка 03, графа 17 – очно-заочное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</si>
  <si>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заочной форме обучения (включая экстернат)</t>
  </si>
  <si>
    <t>СПО-1 раздел 2.1.2, строка 03, графа 17 – заочное</t>
  </si>
  <si>
    <t>Раздел/подраздел/показатель</t>
  </si>
  <si>
    <t>Удельный вес численности лиц, обучающихся на платной основе,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</si>
  <si>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3.2.6.</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</si>
  <si>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с полным возмещением стоимости обучения</t>
  </si>
  <si>
    <t>3.3.</t>
  </si>
  <si>
    <t>Кадровое обеспечение профессиональных образовательных организаций и образовательных организаций высшего образования в части реализации образовательных программ среднего профессионального образования, а также оценка уровня заработной платы педагогических работников</t>
  </si>
  <si>
    <t>Удельный вес численности лиц, имеющих высшее образование,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</si>
  <si>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преподаватели</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</si>
  <si>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высшее образование</t>
  </si>
  <si>
    <t>3 (профтех) строка 08, графа 14</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</si>
  <si>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</si>
  <si>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 (профтех) строка 08, графа 3</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</si>
  <si>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высшее образование</t>
  </si>
  <si>
    <t>3 (профтех) строка 09, графа 14</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</si>
  <si>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</si>
  <si>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 (профтех) строка 09, графа 3</t>
  </si>
  <si>
    <t>3.3.1.</t>
  </si>
  <si>
    <t>3.3.2.</t>
  </si>
  <si>
    <t>Удельный вес численности лиц, имеющих высшее образование,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всего; преподаватели</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</si>
  <si>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высшее образование</t>
  </si>
  <si>
    <t>СПО-1 раздел 3.1.1, строка 06, графа 4</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</si>
  <si>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t>
  </si>
  <si>
    <t>СПО-1 раздел 3.1.1, строка 06, графа 3</t>
  </si>
  <si>
    <t>численность преподавателей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высшее образование</t>
  </si>
  <si>
    <t>СПО-1 раздел 3.1.1, строка 07, графа 4</t>
  </si>
  <si>
    <t>численность преподавателей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t>
  </si>
  <si>
    <t>СПО-1 раздел 3.1.1, строка 07, графа 3</t>
  </si>
  <si>
    <t>Удельный вес численности лиц, имеющих квалификационную категорию,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</si>
  <si>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высшую квалификационную категорию</t>
  </si>
  <si>
    <t>3 (профтех) строка 08, графа 9</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</si>
  <si>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первую квалификационную категорию</t>
  </si>
  <si>
    <t>3 (профтех) строка 08, графа 10</t>
  </si>
  <si>
    <t>3.3.3.</t>
  </si>
  <si>
    <t>Удельный вес численности лиц, имеющих квалификационную категорию,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</si>
  <si>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высшая квалификационная категория</t>
  </si>
  <si>
    <t>первая квалификационная категория</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</si>
  <si>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высшую квалификационную категорию</t>
  </si>
  <si>
    <t>СПО-1 раздел 3.1.1, строка 06, графа 12</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</si>
  <si>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первую квалификационную категорию</t>
  </si>
  <si>
    <t>СПО-1 раздел 3.1.1, строка 06, графа 13</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</si>
  <si>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</si>
  <si>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3.3.5.</t>
  </si>
  <si>
    <t>Численность студентов, обучающихся по образовательным программам среднего профессионального образования, в расчете на 1 работника, замещающего должности преподавателей и (или) мастеров производственного обучения: программы подготовки квалифицированных рабочих, служащих; программы подготовки специалистов среднего звена</t>
  </si>
  <si>
    <t>Программы подготовки квалифицированных рабочих, служащих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</si>
  <si>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за счет средств учредителя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</si>
  <si>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по договорам (но без учета краткосрочно обученных)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</si>
  <si>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профессиональных училищах уголовно-исполнительной системы за счет средств учредителя</t>
  </si>
  <si>
    <t>1 (профтех) раздел 1, строка 09, графа 17</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</si>
  <si>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специальных профессиональных училищах учреждениях за счет средств учредителя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</si>
  <si>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профессиональных училищах уголовно-исполнительной системы по договорам</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</si>
  <si>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специальных профессиональных училищах учреждениях по договорам</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</si>
  <si>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очно-заочной форме обучения и в форме экстерната за счет средств учредителя</t>
  </si>
  <si>
    <t>1 (профтех) раздел 1, строка 08, графа 17</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</si>
  <si>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очно-заочной форме обучения и в форме экстерната по договорам (но без учета краткосрочно обученных)</t>
  </si>
  <si>
    <t>1 (профтех) раздел 2, строка 05, графа 6</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</si>
  <si>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среднего профессионального образования - исключительно программы подготовки квалифицированных рабочих, служащих</t>
  </si>
  <si>
    <t>численность мастеров производственного обучения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среднего профессионального образования - исключительно программы подготовки квалифицированных рабочих, служащих</t>
  </si>
  <si>
    <t>3 (профтех) строка 14, графа 3</t>
  </si>
  <si>
    <t>Программы подготовки специалистов среднего звена</t>
  </si>
  <si>
    <t>СПО-1 раздел 2.1.2, строка 03, графа 17 – очно-заочное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</si>
  <si>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заочной форме обучения и форме экстерната</t>
  </si>
  <si>
    <t>численность мастеров производственного обучения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подготовки специалистов среднего звена</t>
  </si>
  <si>
    <t>СПО-1 раздел 3.1.1, строка 08, графа 3</t>
  </si>
  <si>
    <t>3.3.6.</t>
  </si>
  <si>
    <t xml:space="preserve">Отношение среднемесячной заработной платы преподавателей и мастеров производственного обучения государственных и муниципальных образовательных организаций, реализующих образовательные программы среднего профессионального образования к среднемесячной заработной плате в субъекте Российской Федерации </t>
  </si>
  <si>
    <t>фонд начисленной заработной платы преподавателей и мастеров производственного обучения списочного состава (без фонда заработной платы внешних совместителей) государственных (муниципальных) образовательных организаций (включая филиалы), реализующих образовательные программы среднего профессионального образования - программы подготовки квалифицированных рабочих, служащих и программы подготовки специалистов среднего звена</t>
  </si>
  <si>
    <t>ЗП-образование строка 09, графа 3</t>
  </si>
  <si>
    <t>ЗП-образование строка 10, графа 3</t>
  </si>
  <si>
    <t>ЗП-образование строка 12, графа 3</t>
  </si>
  <si>
    <t>ЗП-образование строка 13, графа 3</t>
  </si>
  <si>
    <t>средняя численность преподавателей и мастеров производственного обучения списочного состава (без внешних совместителей) государственных (муниципальных) образовательных организаций (включая филиалы), реализующих образовательные программы среднего профессионального образования - программы подготовки квалифицированных рабочих, служащих и программы подготовки специалистов среднего звена</t>
  </si>
  <si>
    <t>ЗП-образование строка 09, графа 1</t>
  </si>
  <si>
    <t xml:space="preserve">ЗП-образование строка 10, графа </t>
  </si>
  <si>
    <t>ЗП-образование строка 12, графа 1</t>
  </si>
  <si>
    <t>ЗП-образование строка 13, графа 1</t>
  </si>
  <si>
    <t>среднемесячная номинальная начисленная заработная плата в экономике субъекта Российской Федерации</t>
  </si>
  <si>
    <t>3.3.7.</t>
  </si>
  <si>
    <t>3.3.8.</t>
  </si>
  <si>
    <t>3.4.</t>
  </si>
  <si>
    <t>Материально-техническое и информационное обеспечение профессиональных образовательных организаций и образовательных организаций высшего образования, реализующих образовательные программы среднего профессионального образования</t>
  </si>
  <si>
    <t>Обеспеченность студентов профессиональных образовательных организаций, реализующих программы среднего профессионального образования - программы подготовки специалистов среднего звена общежитиями (удельный вес студентов, проживающих в общежитиях, в общей численности студентов, нуждающихся в общежитиях)</t>
  </si>
  <si>
    <t>3.4.1.</t>
  </si>
  <si>
    <t>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проживающих в общежитиях (включая проживающих в общежитиях сторонних организаций)</t>
  </si>
  <si>
    <t>СПО-2 раздел 1.2, строка 13</t>
  </si>
  <si>
    <t>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нуждающихся в общежитиях</t>
  </si>
  <si>
    <t>СПО-2 раздел 1.2, строка 12</t>
  </si>
  <si>
    <t>3.4.2.</t>
  </si>
  <si>
    <t>Обеспеченность студентов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сетью общественного питания</t>
  </si>
  <si>
    <t>число посадочных мест в собственных (без сданных в аренду и субаренду) и арендованных предприятиях (подразделениях) общественного питания, расположенных в учебно-лабораторных зданиях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</si>
  <si>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1.3, строка 01, графа 3</t>
  </si>
  <si>
    <t>расчетная 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</si>
  <si>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15, графа 3</t>
  </si>
  <si>
    <t>число персональных компьютеров, используемых в учебных целях, в профессиональных образовательных организациях,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</si>
  <si>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4, строка 03, графа 4</t>
  </si>
  <si>
    <t>число персональных компьютеров, используемых в учебных целях, в профессиональных образовательных организациях,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доступ к Интернету</t>
  </si>
  <si>
    <t>2 (профтех) раздел 4, строка 08, графа 4</t>
  </si>
  <si>
    <t>3.4.4.</t>
  </si>
  <si>
    <t xml:space="preserve">Число персональных компьютеров, используемых в учебных целях, в расчете на 100 студентов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t>
  </si>
  <si>
    <t>Число персональных компьютеров, используемых в учебных целях, в расчете на 100 студентов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</si>
  <si>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число персональных компьютеров, используемых в учебных целях, в профессиональных образовательных организациях (включая филиалы) и филиалах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</si>
  <si>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2.1, строка 01, графа 4</t>
  </si>
  <si>
    <t>число персональных компьютеров, используемых в учебных целях, в профессиональных образовательных организациях (включая филиалы) и филиалах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имеющих доступ к Интернету</t>
  </si>
  <si>
    <t>СПО-2 раздел 2.1, строка 04, графа 4</t>
  </si>
  <si>
    <t>численность студентов, приведенная к очной форме обучения профессиональных образовательных организаций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</si>
  <si>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14, графа 3</t>
  </si>
  <si>
    <t>3.4.5.</t>
  </si>
  <si>
    <t xml:space="preserve">Удельный вес числа организаций, подключенных к Интернету со скоростью передачи данных 2 Мбит/сек и выше,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 </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</si>
  <si>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 со скоростью передачи данных 2 Мбит/сек и выше</t>
  </si>
  <si>
    <t>СПО-2 раздел 2.3, строка 05</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</si>
  <si>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t>
  </si>
  <si>
    <t>СПО-2 раздел 2.3, строка 01-05</t>
  </si>
  <si>
    <t xml:space="preserve">Площадь учебно-лабораторных зданий профессиональных образовательных организаций в расчете на одного студента: профессиональные образовательные организации, реализующие программы среднего профессионального образования - исключительно программы подготовки квалифицированных рабочих, служащих; профессиональные образовательные организации, реализующие программы среднего профессионального образования - программы подготовки специалистов среднего звена </t>
  </si>
  <si>
    <t>профессиональные образовательные организации, реализующие программы подготовки квалифицированных рабочих, служащих</t>
  </si>
  <si>
    <t>площадь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(без учета площади: сданной в аренду или субаренду, находящейся на капитальном ремонте или реконструкции)</t>
  </si>
  <si>
    <t>2 (профтех) раздел 2, строка 01, графа 11</t>
  </si>
  <si>
    <t>2 (профтех) раздел 2, строка 01, графа 12</t>
  </si>
  <si>
    <t>2 (профтех) раздел 2, строка 01, графа 13</t>
  </si>
  <si>
    <t>Профессиональные образовательные организации, реализующие программы подготовки специалистов среднего звена</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</si>
  <si>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(без учета площади: сданной в аренду или субаренду, находящейся на капитальном ремонте)</t>
  </si>
  <si>
    <t>СПО-2 раздел 1.2, строка 01, графа 09-12</t>
  </si>
  <si>
    <t>СПО-2 раздел 1.2, строка 01, графы 5</t>
  </si>
  <si>
    <t>СПО-2 раздел 1.2, строка 01, графы 4</t>
  </si>
  <si>
    <t>численность студентов, приведенная к очной форме обучения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</si>
  <si>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3.5.</t>
  </si>
  <si>
    <t>Условия получения среднего профессионального образования лицами с ограниченными возможностями здоровья и инвалидами</t>
  </si>
  <si>
    <t xml:space="preserve">Удельный вес числа организаций, обеспечивающих доступность обучения и проживания лиц с ограниченными возможностями здоровья и инвалидов,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</si>
  <si>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3.5.1.</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</si>
  <si>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обеспечивающих доступность обучения и проживания лиц с ограниченными возможностями здоровья и инвалидов (учебно-лабораторные здания и общежития, которых доступны для лиц с ограниченными возможностями здоровья, детей-инвалидов и инвалидов)</t>
  </si>
  <si>
    <t>СПО-2 раздел 1.1, строка 07, графы 3</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</si>
  <si>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</si>
  <si>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1.1, строка 01, графы 3</t>
  </si>
  <si>
    <t>СПО-2 раздел 1.1, строка 01, графы 4</t>
  </si>
  <si>
    <t>3.5.2.</t>
  </si>
  <si>
    <t>Удельный вес численности студентов с ограниченными возможностями здоровья в общей численности студентов, обучающихся по образовательным программам среднего профессионального образования:</t>
  </si>
  <si>
    <t>программы подготовки квалифицированных рабочих, служащих</t>
  </si>
  <si>
    <t>численность лиц с ограниченными возможностями здоровья,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</si>
  <si>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9, строка 02, графы 5</t>
  </si>
  <si>
    <t>1 (профтех) раздел 9, строка 02, графы 6</t>
  </si>
  <si>
    <t>1 (профтех) раздел 9, строка 02, графы 11</t>
  </si>
  <si>
    <t>1 (профтех) раздел 9, строка 02, графы 12</t>
  </si>
  <si>
    <t>Удельный вес численности студентов-инвалидов в общей численности студентов, обучающихся по образовательным программам среднего профессионального образования:</t>
  </si>
  <si>
    <t xml:space="preserve">программы подготовки специалистов среднего звена </t>
  </si>
  <si>
    <t>численность детей инвалидов и инвалидов,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</si>
  <si>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9, строка 01, графы 7</t>
  </si>
  <si>
    <t>1 (профтех) раздел 9, строка 01, графы 8</t>
  </si>
  <si>
    <t>1 (профтех) раздел 9, строка 01, графы 13</t>
  </si>
  <si>
    <t>1 (профтех) раздел 9, строка 01, графы 14</t>
  </si>
  <si>
    <t>3.5.3.</t>
  </si>
  <si>
    <t>численность инвалидов, обучающихся по образовательным программам среднего профессионального образования - программам подготовки специалистов среднего звена</t>
  </si>
  <si>
    <t>СПО-1 раздел 2.3, строка 08, графы 4 – все формы обучения</t>
  </si>
  <si>
    <t>СПО-1 раздел 2.3, строка 08, графы 7 – все формы обучения</t>
  </si>
  <si>
    <t>3.6.</t>
  </si>
  <si>
    <t>Учебные и внеучебные достижения обучающихся лиц и профессиональные достижения выпускников организаций, реализующих программы среднего профессионального образования</t>
  </si>
  <si>
    <t xml:space="preserve">Удельный вес численности студентов очной формы обучения, получающих стипендии, в общей численности студентов очной формы обучения, обучающихся по образовательным программам среднего профессионального образования - программам подготовки специалистов среднего звена </t>
  </si>
  <si>
    <t>3.6.1.</t>
  </si>
  <si>
    <t>численность студентов очной формы обучения, обучающихся по образовательным программам среднего профессионального образования - программам подготовки специалистов среднего звена, получающих стипендии</t>
  </si>
  <si>
    <t>СПО-1 раздел 2.4, строка 01, графа 3</t>
  </si>
  <si>
    <t>численность студентов очной формы обучения, обучающихся по образовательным среднего профессионального образования - программам подготовки специалистов среднего звена</t>
  </si>
  <si>
    <t>СПО-1 раздел 2.1.2, строка 03, графа 17</t>
  </si>
  <si>
    <t>3.6.2.</t>
  </si>
  <si>
    <t>Уровень безработицы выпускников, завершивших обучение по образовательным программам среднего профессионального образования в течение трех лет, предшествующих отчетному периоду:</t>
  </si>
  <si>
    <t>численность безработных выпускников со средним профессиональным образованием (программы подготовки квалифицированных рабочих, служащих), завершивших обучение в течение трех лет, предшествующих отчетному периоду</t>
  </si>
  <si>
    <t>обследование населения по проблемам занятости</t>
  </si>
  <si>
    <t>численность экономически активных выпускников (занятых и безработных) со средним профессиональным образованием (программы подготовки квалифицированных рабочих, служащих), завершивших обучение в течение трех лет, предшествующих отчетному периоду</t>
  </si>
  <si>
    <t>численность безработных выпускников со средним профессиональным образованием (программы подготовки специалистов среднего звена), завершивших обучение в течение трех лет, предшествующих отчетному периоду</t>
  </si>
  <si>
    <t>численность экономически активных выпускников (занятых и безработных) со средним профессиональным образованием (программы подготовки специалистов среднего звена), завершивших обучение в течение трех лет, предшествующих отчетному периоду</t>
  </si>
  <si>
    <t>3.7.</t>
  </si>
  <si>
    <t>Изменение сети организаций, осуществляющих образовательную деятельность по образовательным программам среднего профессионального образования (в том числе ликвидация и реорганизация организаций, осуществляющих образовательную деятельность)</t>
  </si>
  <si>
    <t>3.7.1.</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</si>
  <si>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квалифицированных рабочих, служащих в отчетном году t</t>
  </si>
  <si>
    <t>1 (профтех) раздел 1, строка 01, графа 19 – отчетный год</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</si>
  <si>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квалифицированных рабочих, служащих в году t-1, предшествовавшем отчетному году t</t>
  </si>
  <si>
    <t>1 (профтех) раздел 1, строка 01, графа 19 – предыдущий год</t>
  </si>
  <si>
    <t>профессиональные образовательные организации</t>
  </si>
  <si>
    <t>организации высшего образования, имеющие в своем составе структурные подразделения, реализующие образовательные программы подготовки квалифицированных рабочих, служащих</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</si>
  <si>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подготовки квалифицированных рабочих, служащих в отчетном году t</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</si>
  <si>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подготовки квалифицированных рабочих, служащих в году t-1, предшествовавшем отчетном году t</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</si>
  <si>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специалистов среднего звена в отчетном году t</t>
  </si>
  <si>
    <t>СПО-1 раздел 1.2, строка 01, графа 3 – отчетный год</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</si>
  <si>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специалистов среднего звена в году t-1, предшествовавшем отчетному году t</t>
  </si>
  <si>
    <t>СПО-1 раздел 1.2, строка 01, графа 3 – предыдущий год</t>
  </si>
  <si>
    <t>организации высшего образования, имеющие в своем составе структурные подразделения, реализующие образовательные программы подготовки специалистов среднего звена</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</si>
  <si>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программы подготовки специалистов среднего звена в отчетном году t</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</si>
  <si>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программы подготовки специалистов среднего звена в году t-1, предшествовавшем отчетному году t</t>
  </si>
  <si>
    <t>Российская Федерация, субъекты Российской Федерации, государственные и муниципальные организации, частные организации</t>
  </si>
  <si>
    <t>3.8.</t>
  </si>
  <si>
    <t>Финансово-экономическая деятельность профессиональных образовательных организаций и образовательных организаций высшего образования в части обеспечения реализации образовательных программ среднего профессионального образования</t>
  </si>
  <si>
    <t xml:space="preserve">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квалифицированных рабочих, служащих: профессиональные образовательные организации; организации высшего образования </t>
  </si>
  <si>
    <t>3.8.1.</t>
  </si>
  <si>
    <t>объем финансовых средств от приносящей доход деятельности (внебюджетных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</si>
  <si>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5, строка 06, графа 3</t>
  </si>
  <si>
    <t>объем финансовых средств от приносящей доход деятельности (внебюджетных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реализующие образовательные программы среднего профессионального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</si>
  <si>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СПО-2 раздел 3.1, строка 06, графа 5</t>
  </si>
  <si>
    <t>организации высшего образования</t>
  </si>
  <si>
    <t>объем финансовых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</si>
  <si>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5, строка 01, графа 3</t>
  </si>
  <si>
    <t>объем финансовых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реализующие образовательные программы среднего профессионального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</si>
  <si>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ВПО-2 раздел 3.1, строка 01, графа 5</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</si>
  <si>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</si>
  <si>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ВПО-2 раздел 3.1, строка 06, графа 5</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</si>
  <si>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</si>
  <si>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СПО-2 раздел 3.1, строка 01, графа 5</t>
  </si>
  <si>
    <t>Российская Федерация; субъекты Российской; государственные и муниципальные организации; частные организации</t>
  </si>
  <si>
    <t>3.8.2.</t>
  </si>
  <si>
    <t>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специалистов среднего звена:</t>
  </si>
  <si>
    <t xml:space="preserve">организации высшего образования </t>
  </si>
  <si>
    <t>объем финансовых средств от приносящей доход деятельности (внебюджетных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на реализацию образовательных программ среднего профессионального образования - программ подготовки специалистов среднего звена</t>
  </si>
  <si>
    <t>СПО-2 раздел 3.1, строка 06, графа 6</t>
  </si>
  <si>
    <t>объем финансовых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на реализацию образовательных программ среднего профессионального образования - программ подготовки специалистов среднего звена</t>
  </si>
  <si>
    <t>СПО-2 раздел 3.1, строка 01, графа 6</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</si>
  <si>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на реализацию образовательных программ среднего профессионального образования - программ подготовки специалистов среднего звена</t>
  </si>
  <si>
    <t>ВПО-2 раздел 3.1, строка 06, графа 6</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</si>
  <si>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на реализацию образовательных программ среднего профессионального образования - программ подготовки специалистов среднего звена</t>
  </si>
  <si>
    <t>ВПО-2 раздел 3.1, строка 01, графа 6</t>
  </si>
  <si>
    <t>3.8.3.</t>
  </si>
  <si>
    <t>профессиональные образовательные организации, реализующие образовательные программы среднего профессионального образования - исключительно программы подготовки квалифицированных рабочих, служащих</t>
  </si>
  <si>
    <t>объем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</si>
  <si>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численность обучающихся по образовательным программам подготовки квалифицированных рабочих, служащих по очно-заочной форме обучения и в форме экстерната по договорам (но без учета краткосрочно обученных)</t>
  </si>
  <si>
    <t>объем финансовых средств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</si>
  <si>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численность студентов, приведенная к очной форме обучения,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</si>
  <si>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13, графа 3</t>
  </si>
  <si>
    <t>профессиональные образовательные организации, реализующие образовательные программы среднего профессионального образования - программы подготовки специалистов среднего звена</t>
  </si>
  <si>
    <t>Российская Федерация; субъекты Российской Федерации; государственные и муниципальные организации; частные организации - профессиональные образовательные организации, реализующие образовательные программы среднего профессионального образования - программы подготовки специалистов среднего звена;</t>
  </si>
  <si>
    <t>Российская Федерация; субъекты Российской Федерации - профессиональные образовательные организации, реализующие образовательные программы среднего профессионального образования - программы подготовки квалифицированных рабочих, служащих</t>
  </si>
  <si>
    <t>Структура профессиональных образовательных организаций и образовательных организаций высшего образования, реализующих образовательные программы среднего профессионального образования (в том числе характеристика филиалов)</t>
  </si>
  <si>
    <t xml:space="preserve">Удельный вес числа организаций, имеющих филиалы, реализующие образовательные программы среднего профессионального образования - программы подготовки специалистов среднего звена,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</si>
  <si>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число профессиональных образовательных организаций (юридических лиц), реализующих образовательные программы среднего профессионального образования - программы подготовки специалистов среднего звена, имеющие филиалы, реализующие эти программы</t>
  </si>
  <si>
    <t>СПО-1 раздел 1.2, строка 01, графа 3 – имеющие филиалы</t>
  </si>
  <si>
    <t>число профессиональных образовательных организаций (юридических лиц), реализующих образовательные программы среднего профессионального образования - программы подготовки специалистов среднего звена</t>
  </si>
  <si>
    <t>СПО-1 раздел 1.2, строка 01, графа 3</t>
  </si>
  <si>
    <t>3.10.</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</si>
  <si>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образовательных программ среднего профессионального образования</t>
  </si>
  <si>
    <t xml:space="preserve">Удельный вес площади зданий, оборудованной охранно-пожарной сигнализацией, в общей площади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учебно-лабораторные здания; общежития </t>
  </si>
  <si>
    <t>3.10.1.</t>
  </si>
  <si>
    <t>учебно-лабораторные здания</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</si>
  <si>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оборудованная охранно-пожарной сигнализацией</t>
  </si>
  <si>
    <t>СПО-2 раздел 1.2, строка 02, графа 8</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</si>
  <si>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</si>
  <si>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1.2, строка 02, графа 3</t>
  </si>
  <si>
    <t>общежития</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</si>
  <si>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оборудованная охранно-пожарной сигнализацией</t>
  </si>
  <si>
    <t>СПО-2 раздел 1.2, строка 08, графа 8</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</si>
  <si>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</si>
  <si>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1.2, строка 08, графа 3</t>
  </si>
  <si>
    <t>Российская Федерация, субъекты Российской Федерации, государственные и муниципальные организации; частные организации</t>
  </si>
  <si>
    <t xml:space="preserve">Удельный вес числа организаций, здания которых требуют капитального ремонта, в общем числе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t>
  </si>
  <si>
    <t>3.10.2.</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</si>
  <si>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квалифицированных рабочих, служащих, здания которых требуют капитального ремонта</t>
  </si>
  <si>
    <t>2 (профтех) раздел 3, строка 31, графа 3</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</si>
  <si>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квалифицированных рабочих, служащих</t>
  </si>
  <si>
    <t>1 (профтех) раздел 1, строка 01, графа 19</t>
  </si>
  <si>
    <t>3.9.</t>
  </si>
  <si>
    <t>3.9.1.</t>
  </si>
  <si>
    <t>Удельный вес числа организаций, здания которых находятся в аварийном состоянии, в общем числе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</si>
  <si>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3.10.3.</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</si>
  <si>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</si>
  <si>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здания которых находятся в аварийном состоянии</t>
  </si>
  <si>
    <t>2 (профтех) раздел 3, строка 33, графа 3</t>
  </si>
  <si>
    <t>3.10.4.</t>
  </si>
  <si>
    <t xml:space="preserve">Удельный вес площади учебно-лабораторных зданий, находящейся в аварийном состоянии, в общей площади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</si>
  <si>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находящаяся в аварийном состоянии</t>
  </si>
  <si>
    <t>СПО-2 раздел 1.2, строка 02, графа 7</t>
  </si>
  <si>
    <t xml:space="preserve">Удельный вес площади учебно-лабораторных зданий, требующей капитального ремонта, в общей площади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</si>
  <si>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требующая капитального ремонта</t>
  </si>
  <si>
    <t>СПО-2 раздел 1.2, строка 02, графа 6</t>
  </si>
  <si>
    <t xml:space="preserve">Удельный вес площади общежитий, находящейся в аварийном состоянии, в общей площади общежитий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</si>
  <si>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находящаяся в аварийном состоянии</t>
  </si>
  <si>
    <t>СПО-2 раздел 1.2, строка 08, графа 7</t>
  </si>
  <si>
    <t xml:space="preserve">Удельный вес площади общежитий, требующей капитального ремонта, в общей площади общежитий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</si>
  <si>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требующая капитального ремонта</t>
  </si>
  <si>
    <t>СПО-2 раздел 1.2, строка 08, графа 6</t>
  </si>
  <si>
    <t xml:space="preserve">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квалифицированных рабочих, служащих: </t>
  </si>
  <si>
    <t>очно-заочная форма обучения</t>
  </si>
  <si>
    <t>Структура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</si>
  <si>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4. Сведения о развитии высшего образования</t>
  </si>
  <si>
    <t>Уровень доступности высшего образования и численность населения, получающего высшее образование</t>
  </si>
  <si>
    <t>4.1.</t>
  </si>
  <si>
    <t>Охват молодежи образовательными программами высшего образования (отношение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к численности населения в возрасте 17 - 25 лет)</t>
  </si>
  <si>
    <t>численность лиц, обучающихся по образовательным программам высшего образования - программам бакалавриата, программам специалитета и программам магистратуры</t>
  </si>
  <si>
    <t>ВПО-1 раздел 2.1.2, строка 15, графа 19 – все формы обучения</t>
  </si>
  <si>
    <t>численность населения в возрасте 17 - 25 лет (на 1 января следующего за отчетным года)</t>
  </si>
  <si>
    <t>4.1.1.</t>
  </si>
  <si>
    <t xml:space="preserve">Удельный вес численности студентов, обучающихся в ведущих классических университетах Российской Федерации, федеральных университетах и национальных исследовательских университетах,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</si>
  <si>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численность студентов, обучающихся в ведущих классических университетах Российской Федерации, федеральных университетах и национальных исследовательских университетах по образовательным программам высшего образования - программам бакалавриата, программам специалитета, программам магистратуры</t>
  </si>
  <si>
    <t>ВПО-1 раздел 2.1.2, строка 15, графа 19 – все формы обучения (выборочные сведения)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</si>
  <si>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</si>
  <si>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4.1.2.</t>
  </si>
  <si>
    <t>Содержание образовательной деятельности и организация образовательного процесса по образовательным программам высшего образования</t>
  </si>
  <si>
    <t>4.2.</t>
  </si>
  <si>
    <t>4.2.1.</t>
  </si>
  <si>
    <t>Структура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</si>
  <si>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очная форма обучения</t>
  </si>
  <si>
    <t xml:space="preserve">заочная форма обучения </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</si>
  <si>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очной форме обучения</t>
  </si>
  <si>
    <t>ВПО-1 раздел 2.1.2, строка 15, графа 19 – очная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</si>
  <si>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очно-заочной форме обучения</t>
  </si>
  <si>
    <t>ВПО-1 раздел 2.1.2, строка 15, графа 19 – очно-заочная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</si>
  <si>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заочной форме обучения (включая экстернат) (ВПО-1 раздел 2.1.2, строка 15, графа 19 – очная плюс экстернат)</t>
  </si>
  <si>
    <t>ВПО-1 раздел 2.1.2, строка 15, графа 19 – заочная</t>
  </si>
  <si>
    <t xml:space="preserve">Удельный вес численности лиц, обучающихся на платной основе,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</si>
  <si>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4.2.2.</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</si>
  <si>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с полным возмещением стоимости обучения</t>
  </si>
  <si>
    <t>ВПО-1 раздел 2.1.2, строка 15, графа 21 – все формы обучения</t>
  </si>
  <si>
    <t>ВПО-1 раздел 2.1.2, раздел 15, графа 19 – все формы обучения</t>
  </si>
  <si>
    <t>4.2.3.</t>
  </si>
  <si>
    <t xml:space="preserve">Удельный вес численности лиц, обучающихся с применением дистанционных образовательных технологий, электронного обучения, в общей численности студентов, обучающихся по образовательным программам высшего образования: программы бакалавриата; программы специалитета; программы магистратуры </t>
  </si>
  <si>
    <t>программы бакалавриата</t>
  </si>
  <si>
    <t>численность студентов, обучающихся по образовательным программам высшего образования - программам бакалавриата</t>
  </si>
  <si>
    <t>ВПО-1 раздел 2.1.2, строка 01, графа 19 – все формы обучения</t>
  </si>
  <si>
    <t>программы специалитета</t>
  </si>
  <si>
    <t>программы магистратуры</t>
  </si>
  <si>
    <t>численность студентов, обучающихся по образовательным программам высшего образования - программам специалитета</t>
  </si>
  <si>
    <t>ВПО-1 раздел 2.1.2, строка 06, графа 19 – все формы обучения</t>
  </si>
  <si>
    <t>численность студентов, обучающихся по образовательным программам высшего образования - программ магистратуры</t>
  </si>
  <si>
    <t>ВПО-1 раздел 2.1.2, строка 11, графа 19 – все формы обучения</t>
  </si>
  <si>
    <t>ВПО-1 раздел 2.1.2, строка 05, графа 19 – все формы обучения</t>
  </si>
  <si>
    <t>ВПО-1 раздел 2.1.2, строка 10, графа 19 – все формы обучения</t>
  </si>
  <si>
    <t>ВПО-1 раздел 2.1.2, строка 14, графа 19 – все формы обучения</t>
  </si>
  <si>
    <t>численность студентов, обучающихся по образовательным программам высшего образования - программам бакалавриата с применением дистанционных образовательных технологий</t>
  </si>
  <si>
    <t>численность студентов, обучающихся по образовательным программам высшего образования - программам специалитета с применением дистанционных образовательных технологий</t>
  </si>
  <si>
    <t>численность студентов, обучающихся по образовательным программам высшего образования - программам магистратуры с применением дистанционных образовательных технологий</t>
  </si>
  <si>
    <t>Кадровое обеспечение образовательных организаций высшего образования и иных организаций, осуществляющих образовательную деятельность в части реализации образовательных программ высшего образования, а также оценка уровня заработной платы педагогических работников</t>
  </si>
  <si>
    <t>4.3.</t>
  </si>
  <si>
    <t>4.3.1.</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</si>
  <si>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имеющих ученую степень доктора наук</t>
  </si>
  <si>
    <t>ВПО-1 раздел 3.1.1, строка 07, графа 5</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</si>
  <si>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имеющих ученую степень кандидата наук</t>
  </si>
  <si>
    <t>ВПО-1 раздел 3.1.1, строка 07, графа 6</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</si>
  <si>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t>
  </si>
  <si>
    <t>ВПО-1, раздел 3.1.1, строка 07, графа 3</t>
  </si>
  <si>
    <t xml:space="preserve">Удельный вес численности лиц в возрасте до 30 лет,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высшего образования </t>
  </si>
  <si>
    <t>4.3.2.</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</si>
  <si>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в возрасте до 30 лет</t>
  </si>
  <si>
    <t>ВПО-1 раздел 3.3, строка 05, графа 6</t>
  </si>
  <si>
    <t>ВПО-1 раздел 3.1.1, строка 07, графа 3</t>
  </si>
  <si>
    <t xml:space="preserve">Соотношение численности штатного профессорско-преподавательского состава и профессорско-преподавательского состава, работающих на условиях внешнего совместительства, организаций, осуществляющих образовательную деятельность по реализации образовательных программам высшего образования (на 100 работников штатного состава приходится внешних совместителей) </t>
  </si>
  <si>
    <t>4.3.3.</t>
  </si>
  <si>
    <t>численность профессорско-преподавательского состава, работающего на условиях внешнего совместительства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t>
  </si>
  <si>
    <t>ВПО-1 раздел 3.1.2, строка 02, графа 3</t>
  </si>
  <si>
    <t xml:space="preserve">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в расчете на одного работника профессорско-преподавательского состава </t>
  </si>
  <si>
    <t>4.3.4.</t>
  </si>
  <si>
    <t>ВПО-1 раздел 2.1.1, строка 15, графа 19 – очное</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</si>
  <si>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очно-заочной (вечерней) форме обучения</t>
  </si>
  <si>
    <t>ВПО-1 раздел 2.1.1, строка 15, графа 19 – очно-заочное</t>
  </si>
  <si>
    <t>c - численность лиц, обучающихся по образовательным программам высшего образования - программам бакалавриата, программам специалитета, программам магистратуры по заочной форме обучения (включая экстернат)</t>
  </si>
  <si>
    <t>ВПО-1 раздел 2.1.1, строка 15, графа 19 – заочное</t>
  </si>
  <si>
    <t>ВПО-1 раздел 2.1.1, строка 15, графа 19 – экстернат</t>
  </si>
  <si>
    <t xml:space="preserve">Отношение среднемесячной заработной платы профессорско-преподавательского состава государственных и муниципальных образовательных организаций высшего образования к среднемесячной заработной плате в субъекте Российской Федерации </t>
  </si>
  <si>
    <t>4.3.5.</t>
  </si>
  <si>
    <t>фонд начисленной заработной платы профессорско-преподавательского состава (без фонда заработной платы внешних совместителей) государственных (муниципальных) образовательных организаций высшего образования (включая филиалы, реализующие образовательные программы высшего образования)</t>
  </si>
  <si>
    <t>ЗП-образование строка 17, графа 3</t>
  </si>
  <si>
    <t>средняя численность профессорско-преподавательского состава (без внешних совместителей) государственных (муниципальных) образовательных организаций высшего образования (включая филиалы, реализующие образовательные программы высшего образования)</t>
  </si>
  <si>
    <t>ЗП-образование строка 17, графа 1</t>
  </si>
  <si>
    <t>ЗП-образование строка 01, графа 1</t>
  </si>
  <si>
    <t>4.3.6.</t>
  </si>
  <si>
    <t xml:space="preserve">Удельный вес штатных преподавателей образовательных организаций высшего образования, желающих сменить работу, в общей численности штатных преподавателей образовательных организаций высшего образования </t>
  </si>
  <si>
    <t>численность респондентов - штатных преподавателей образовательных организаций высшего образования, выбравших при ответе на вопрос анкеты "Хотели бы вы перейти с работы в данном учебном заведении на какую-либо другую работу, или вообще перестать работать? (отметьте один ответ)" один из вариантов: "Да, уже ищете (нашли) другое место работы", "Хотели бы найти другую работу, но пока не предпринимаете никаких действий", "Хотели бы перейти на другое место работы, но не думаете, что сможете найти его"</t>
  </si>
  <si>
    <t>социологический опрос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</si>
  <si>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на вопрос анкеты "Хотели бы вы перейти с работы в данном учебном заведении на какую-либо другую работу, или вообще перестать работать? (отметьте один ответ)"</t>
  </si>
  <si>
    <t>4.3.7.</t>
  </si>
  <si>
    <t>Распространенность дополнительной занятости преподавателей образовательных организаций высшего образования (удельный вес штатных преподавателей образовательных организаций высшего образования, имеющих дополнительную работу, в общей численности штатных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</si>
  <si>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утвердительно на вопрос анкеты "Занимались ли Вы в течение последних 12 месяцев помимо вашей работы в данном учебном заведении другими видами оплачиваемой работы (в том числе работа по грантам и т.д.)? Если да, то какими именно? (Отметьте все подходящие ответы)"</t>
  </si>
  <si>
    <t>численность респондентов - штатных преподавателей образовательных организаций высшего образования, ответивших на вопрос анкеты "Занимались ли Вы в течение последних 12 месяцев помимо вашей работы в данном учебном заведении другими видами оплачиваемой работы (в том числе работа по грантам и т.д.)? Если да, то какими именно? (Отметьте все подходящие ответы)"</t>
  </si>
  <si>
    <t>4.4.</t>
  </si>
  <si>
    <t>Материально-техническое и информационное обеспечение образовательных организаций высшего образования и иных организаций, осуществляющих образовательную деятельность в части реализации образовательных программ высшего образования</t>
  </si>
  <si>
    <t>Обеспеченность студентов образовательных организаций высшего образования общежитиями (удельный вес студентов, проживающих в общежитиях, в общей численности студентов, нуждающихся в общежитиях)</t>
  </si>
  <si>
    <t>4.4.1.</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</si>
  <si>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проживающих в общежитиях (включая проживающих в общежитиях сторонних организаций)</t>
  </si>
  <si>
    <t>ВПО-2 раздел 1.2, строка 14</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</si>
  <si>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нуждающихся в общежитиях</t>
  </si>
  <si>
    <t>ВПО-2 раздел 1.2, строка 13</t>
  </si>
  <si>
    <t>4.4.2.</t>
  </si>
  <si>
    <t>Обеспеченность студентов образовательных организаций высшего образования сетью общественного питания</t>
  </si>
  <si>
    <t>число посадочных мест в собственных (без сданных в аренду и субаренду) и арендованных предприятиях (подразделениях) общественного питания, расположенных в учебно-лабораторных зданиях образовательных организаций высшего образования (включая филиалы, реализующие образовательные программы высшего образования)</t>
  </si>
  <si>
    <t>ВПО-2 раздел 1.3, строка 01, графа 3</t>
  </si>
  <si>
    <t>расчетная численность студентов образовательных организаций высшего образования (включая филиалы, реализующие образовательные программы высшего образования)</t>
  </si>
  <si>
    <t>ВПО-2 раздел 3.3. справка 6, строка 23, графа 3</t>
  </si>
  <si>
    <t>Число персональных компьютеров, используемых в учебных целях, в расчете на 100 студентов образовательных организаций высшего образования: всего; имеющих доступ к Интернету</t>
  </si>
  <si>
    <t>3.4.3.</t>
  </si>
  <si>
    <t>число персональных компьютеров, используемых в учебных целях, в образовательных организациях высшего образования (включая филиалы, реализующие образовательные программы высшего образования)</t>
  </si>
  <si>
    <t>ВПО-2 раздел 2.1, строка 01, графа 4</t>
  </si>
  <si>
    <t>число компьютеров, используемых в учебных целях, в образовательных организациях высшего образования (включая филиалы, реализующие образовательные программы высшего образования), имеющих доступ к Интернету</t>
  </si>
  <si>
    <t>ВПО-2 раздел 2.1, строка 04, графа 4</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</si>
  <si>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приведенная к очной форме обучения</t>
  </si>
  <si>
    <t>ВПО-2 раздел 3.3. справка 6, строка 22, графа 3</t>
  </si>
  <si>
    <t xml:space="preserve">удельный вес числа организаций, подключенных к Интернету со скоростью передачи данных 2 Мбит/сек и выше, в общем числе образовательных организаций высшего образования, подключенных к Интернету </t>
  </si>
  <si>
    <t>число образовательных организаций высшего образования (включая филиалы, реализующие образовательные программы высшего образования), подключенных к Интернету со скоростью передачи данных 2 Мбит/сек и выше</t>
  </si>
  <si>
    <t>ВПО-2 раздел 2.3, строка 05</t>
  </si>
  <si>
    <t>число образовательных организаций высшего образования (включая филиалы, реализующие образовательные программы высшего образования), подключенных к Интернету</t>
  </si>
  <si>
    <t>ВПО-2 раздел 2.3, строки 01-05</t>
  </si>
  <si>
    <t>4.4.5.</t>
  </si>
  <si>
    <t>4.4.4.</t>
  </si>
  <si>
    <t xml:space="preserve">Площадь учебно-лабораторных зданий образовательных организаций высшего образования в расчете на одного студента </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</si>
  <si>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(без учета площади: сданной в аренду или субаренду, находящейся на капитальном ремонте)</t>
  </si>
  <si>
    <t>ВПО-2 раздел 1.2, строка 02, графы 9-12</t>
  </si>
  <si>
    <t>ВПО-2 раздел 1.2, строка 02, графы 4</t>
  </si>
  <si>
    <t>ВПО-2 раздел 1.2, строка 02, графы 5</t>
  </si>
  <si>
    <t>ВПО-2, раздел 3.3, справка 6, строка 22, графа 3</t>
  </si>
  <si>
    <t>4.5.</t>
  </si>
  <si>
    <t>Условия получения высшего профессионального образования лицами с ограниченными возможностями здоровья и инвалидами</t>
  </si>
  <si>
    <t xml:space="preserve">Удельный вес числа организаций, обеспечивающих доступность обучения и проживания лиц с ограниченными возможностями здоровья и инвалидов, в общем числе образовательных организаций высшего образования </t>
  </si>
  <si>
    <t>4.5.1.</t>
  </si>
  <si>
    <t>число образовательных организаций высшего образования (включая филиалы, реализующие образовательные программы высшего образования), обеспечивающих доступность обучения и проживания лиц с ограниченными возможностями здоровья и инвалидов (имеющих учебно-лабораторные здания и общежития, доступные для лиц с ограниченными возможностями здоровья, детей-инвалидов и инвалидов)</t>
  </si>
  <si>
    <t>ВПО-2 раздел 1.1, строка 07, графы 3</t>
  </si>
  <si>
    <t>ВПО-2 раздел 1.1, строка 07, графы 4</t>
  </si>
  <si>
    <t>число образовательных организаций высшего образования (включая филиалы, реализующие образовательные программы высшего образования)</t>
  </si>
  <si>
    <t>ВПО-2 раздел 1.1, строка 01, графы 3</t>
  </si>
  <si>
    <t>ВПО-2 раздел 1.1, строка 01, графы 4</t>
  </si>
  <si>
    <t xml:space="preserve">Удельный вес численности студентов-инвалидов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</si>
  <si>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4.5.2.</t>
  </si>
  <si>
    <t>численность инвалидов, обучающихся по образовательным программам высшего образования - программам бакалавриата, программам специалитета, программам магистратуры</t>
  </si>
  <si>
    <t>4.6.</t>
  </si>
  <si>
    <t>Учебные и внеучебные достижения обучающихся лиц и профессиональные достижения выпускников организаций, реализующих программы высшего образования</t>
  </si>
  <si>
    <t xml:space="preserve">Удельный вес численности студентов очной формы обучения, получающих стипендии, в общей численности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 </t>
  </si>
  <si>
    <t>4.6.1.</t>
  </si>
  <si>
    <t>численность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 получающих стипендии</t>
  </si>
  <si>
    <t>ВПО-1 раздел 2.4, строк 01, графа 3 - очное</t>
  </si>
  <si>
    <t>численность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t>
  </si>
  <si>
    <t>ВПО-1 раздал 2.1.2, строка 15, графа 19 - очное</t>
  </si>
  <si>
    <t xml:space="preserve">Уровень безработицы выпускников, завершивших обучение по образовательным программам высшего образования - программам бакалавриата, программам специалитета, программам магистратуры в течение трех лет, предшествующих отчетному периоду </t>
  </si>
  <si>
    <t>4.6.2.</t>
  </si>
  <si>
    <t>численность безработных выпускников с высшим образованием (с дипломом бакалавра, специалиста или магистра), завершивших обучение в течение трех лет, предшествующих отчетному периоду</t>
  </si>
  <si>
    <t xml:space="preserve">численность экономически активных выпускников (занятых и безработных) с высшим образованием (с дипломом бакалавра, специалиста или магистра), завершивших обучение в течение трех лет, предшествующих отчетному периоду </t>
  </si>
  <si>
    <t>4.7.</t>
  </si>
  <si>
    <t>Финансово-экономическая деятельность образовательных организаций высшего образования в части обеспечения реализации образовательных программ высшего образования</t>
  </si>
  <si>
    <t>Удельный вес финансовых средств от приносящей доход деятельности в общем объеме финансовых средств, полученных образовательными организациями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</si>
  <si>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4.7.1.</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</si>
  <si>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</si>
  <si>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ВПО-2 раздел 3.1. строка 06, графы 7</t>
  </si>
  <si>
    <t>ВПО-2 раздел 3.1. строка 06, графы 8</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</si>
  <si>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</si>
  <si>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ВПО-2 раздел 3.1, строка 01, графы 7</t>
  </si>
  <si>
    <t>ВПО-2 раздел 3.1, строка 01, графы 8</t>
  </si>
  <si>
    <t xml:space="preserve">Объем финансовых средств, поступивших в образовательные организации высшего образования, в расчете на одного студента </t>
  </si>
  <si>
    <t>4.7.2.</t>
  </si>
  <si>
    <t>объем финансовых средств образовательных организаций высшего образования (включая филиалы, реализующие образовательные программы высшего образования)</t>
  </si>
  <si>
    <t>ВПО-2 раздел 3.1, строка 06, графа 3</t>
  </si>
  <si>
    <t>ВПО-2 раздел 3.3, справка 6, строка 22, графа 3</t>
  </si>
  <si>
    <t>4.8.</t>
  </si>
  <si>
    <t>Структура образовательных организаций высшего образования, реализующих образовательные программы высшего образования (в том числе характеристика филиалов)</t>
  </si>
  <si>
    <t>Удельный вес числа организаций, имеющих филиалы, реализующие образовательные программы высшего образования - программы бакалавриата, программы специалитета, программы магистратуры, в общем числе образовательных организаций высшего образования</t>
  </si>
  <si>
    <t>4.8.1.</t>
  </si>
  <si>
    <t>число образовательных организаций высшего образования (юридических лиц), имеющих филиалы, реализующие образовательные программы высшего образования - программы бакалавриата, программы специалитета, программы магистратуры</t>
  </si>
  <si>
    <t>ВПО-1 раздел 1.2, строка 01, графа 3 – филиалы</t>
  </si>
  <si>
    <t>число образовательных организаций высшего образования (юридических лиц)</t>
  </si>
  <si>
    <t>ВПО-1 раздел 1.2, строка 01, графа 3</t>
  </si>
  <si>
    <t>4.9.</t>
  </si>
  <si>
    <t>Научная и творческая деятельность образовательных организаций высшего образования, а также иных организаций, осуществляющих образовательную деятельность, связанная с реализацией образовательных программ высшего образования</t>
  </si>
  <si>
    <t>Удельный вес финансовых средств, полученных от научной деятельности, в общем объеме финансовых средств образовательных организаций высшего образования</t>
  </si>
  <si>
    <t>4.9.1.</t>
  </si>
  <si>
    <t>объем средств образовательных организаций высшего образования (включая филиалы, реализующие образовательные программы высшего образования), полученных от научных исследований и разработок</t>
  </si>
  <si>
    <t>ВПО-2 раздел 3.1, строка 01, графа 10</t>
  </si>
  <si>
    <t>объем средств образовательных организаций высшего образования (включая филиалы, реализующие образовательные программы высшего образования)</t>
  </si>
  <si>
    <t>ВПО-2 раздел 3.1, строка 01, графа 3</t>
  </si>
  <si>
    <t>4.9.2.</t>
  </si>
  <si>
    <t xml:space="preserve">Объем финансовых средств, полученных от научной деятельности, в расчете на 1 научно-педагогического работника </t>
  </si>
  <si>
    <t>объем финансовых средств образовательных организаций высшего образования (включая филиалы, реализующие образовательные программы высшего образования), полученных от научных исследований и разработок, за отчетный год</t>
  </si>
  <si>
    <t>численность профессорско-преподавательского состава образовательных организаций высшего образования (включая филиалы, реализующие образовательные программы высшего образования), на начало учебного года</t>
  </si>
  <si>
    <t>численность научных работников образовательных организаций высшего образования (включая филиалы, реализующие образовательные программы высшего образования), на начало учебного года</t>
  </si>
  <si>
    <t>ВПО-1 раздел 3.1.1, строка 14, графа 3</t>
  </si>
  <si>
    <t>4.9.3.</t>
  </si>
  <si>
    <t>Распространенность участия в исследованиях и разработках преподавателей организаций высшего образования (оценка удельного веса штатных преподавателей образовательных организаций высшего образования, занимающихся научной работой, в общей численности штатных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</si>
  <si>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утвердительно на вопрос "Принимали ли Вы за предыдущие 2 года участие в научных исследованиях и разработках (в том числе по грантам), и если да, то в каких формах? (Отметьте все подходящие ответы)"</t>
  </si>
  <si>
    <t>численность респондентов - штатных преподавателей образовательных организаций высшего образования, ответивших на вопрос "Принимали ли Вы за предыдущие 2 года участие в научных исследованиях и разработках (в том числе по грантам), и если да, то в каких формах? (Отметьте все подходящие ответы)"</t>
  </si>
  <si>
    <t>4.9.4.</t>
  </si>
  <si>
    <t xml:space="preserve">Распространенность участия в научной работе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(оценка удельного веса лиц, занимающихся научной работой в общей численности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t>
  </si>
  <si>
    <t>- численность респондентов (студентов старших курсов), ответивших утвердительно на вопрос анкеты "Участвовали ли вы в текущем или прошедшем учебном году в научной работе в Вашем учебном заведении или в другой организации? (отметьте все подходящие ответы)"</t>
  </si>
  <si>
    <t>численность респондентов (студентов старших курсов), ответивших на вопрос анкеты "Участвовали ли Вы в текущем или прошедшем учебном году в научной работе в Вашем учебном заведении или в другой организации? (отметьте все подходящие ответы)"</t>
  </si>
  <si>
    <t>4.10.</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</si>
  <si>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образовательных программ высшего образования</t>
  </si>
  <si>
    <t>4.10.1.</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</si>
  <si>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оборудованная охранно-пожарной сигнализацией</t>
  </si>
  <si>
    <t>ВПО-2 раздел 1.2, строка 02, графа 8</t>
  </si>
  <si>
    <t>площадь общежитий образовательных организаций высшего образования (включая филиалы, реализующие образовательные программы высшего образования), оборудованная охранно-пожарной сигнализацией</t>
  </si>
  <si>
    <t>ВПО-2 раздел 1.2, строка 09, графа 8</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</si>
  <si>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t>
  </si>
  <si>
    <t>ВПО-2 раздел 1.2, строка 02, графа 3</t>
  </si>
  <si>
    <t>площадь общежитий образовательных организаций высшего образования (включая филиалы, реализующие образовательные программы высшего образования)</t>
  </si>
  <si>
    <t>ВПО-2, раздел 1.2, строка 09, графа 3</t>
  </si>
  <si>
    <t>4.10.2.</t>
  </si>
  <si>
    <t>Удельный вес площади зданий, находящейся в аварийном состоянии, в общей площади зданий образовательных организаций высшего образования:</t>
  </si>
  <si>
    <t xml:space="preserve">общежития </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</si>
  <si>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находящаяся в аварийном состоянии</t>
  </si>
  <si>
    <t>ВПО-2 раздел 1.2, строка 02, графа 7</t>
  </si>
  <si>
    <t>площадь общежитий образовательных организаций высшего образования (включая филиалы, реализующие образовательные программы высшего образования), находящаяся в аварийном состоянии</t>
  </si>
  <si>
    <t>ВПО-2 раздел 1.2, строка 09, графа 7</t>
  </si>
  <si>
    <t>ВПО-2 раздел 1.2, строка 09, графа 3</t>
  </si>
  <si>
    <t>4.10.3.</t>
  </si>
  <si>
    <t>Удельный вес площади зданий, требующей капитального ремонта, в общей площади зданий образовательных организаций высшего образования:</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</si>
  <si>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требующая капитального ремонта</t>
  </si>
  <si>
    <t>ВПО-2 раздел 1.2, строка 02, графа 6</t>
  </si>
  <si>
    <t>площадь общежитий образовательных организаций высшего образования (включая филиалы, реализующие образовательные программы высшего образования), требующая капитального ремонта</t>
  </si>
  <si>
    <t>ВПО-2 раздел 1.2, строка 09, графа 6</t>
  </si>
  <si>
    <t>3.10.5.</t>
  </si>
  <si>
    <t>3.10.6.</t>
  </si>
  <si>
    <t>3.10.7.</t>
  </si>
  <si>
    <t>III. Дополнительное образование</t>
  </si>
  <si>
    <t>5. Сведения о развитии дополнительного образования детей и взрослых</t>
  </si>
  <si>
    <t>Численность населения, обучающегося по дополнительным общеобразовательным программам</t>
  </si>
  <si>
    <t>5.1.</t>
  </si>
  <si>
    <t>5.1.1.</t>
  </si>
  <si>
    <t>численность детей, обучающихся в образовательных организациях дополнительного образования (включая филиалы) (указывается на основе данных о возрастном составе обучающихся)</t>
  </si>
  <si>
    <t>1-ДО (сводная) раздел 6, строка, 01, графы 04</t>
  </si>
  <si>
    <t>1-ДО (сводная) раздел 6, строка, 01, графы 05</t>
  </si>
  <si>
    <t>1-ДО (сводная) раздел 6, строка, 01, графы 06</t>
  </si>
  <si>
    <t>численность детей, обучающихся в образовательных организациях дополнительного образования (включая филиалы) - в музыкальных, художественных, хореографических школах и школах искусств (указывается на основе данных о возрастном составе обучающихся)</t>
  </si>
  <si>
    <t>1-ДМШ раздел 2. Строка 40, графа 3</t>
  </si>
  <si>
    <t>численность детей, обучающихся в образовательных организациях дополнительного образования (включая филиалы) - в детских, юношеских спортивных школах</t>
  </si>
  <si>
    <t>5-ФК раздел 2, строка 112, графа 5</t>
  </si>
  <si>
    <t>численность населения в возрасте 5 - 18 лет на 1 января следующего за отчетным года</t>
  </si>
  <si>
    <t>5.2.</t>
  </si>
  <si>
    <t>Содержание образовательной деятельности и организация образовательного процесса по образовательным программам дополнительным общеобразовательным программам</t>
  </si>
  <si>
    <t>Структура численности обучающихся в организациях дополнительного образования по видам образовательной деятельности (удельный вес численности детей, обучающихся в организациях, реализующих дополнительные общеобразовательные программы различных видов, в общей численности детей, обучающихся в организациях, реализующих дополнительные общеобразовательные программы)</t>
  </si>
  <si>
    <t>5.2.1.</t>
  </si>
  <si>
    <t>численность детей, обучающихся по дополнительным общеобразовательным программам в образовательных организациях дополнительного образования (включая филиалы) по видам образовательной деятельности:</t>
  </si>
  <si>
    <t>работающие по всем видам образовательной деятельности</t>
  </si>
  <si>
    <t>1-ДО (сводная), раздел 4, строка 02, графа 5</t>
  </si>
  <si>
    <t>1-ДО (сводная), раздел 4, строка 03, графа 5</t>
  </si>
  <si>
    <t>1-ДО (сводная), раздел 4, строка 04, графа 5</t>
  </si>
  <si>
    <t>1-ДО (сводная), раздел 4, строка 06, графа 5</t>
  </si>
  <si>
    <t>1-ДО (сводная), раздел 4, строка 05, графа 5</t>
  </si>
  <si>
    <t>1-ДО (сводная), раздел 4, строка 07, графа 5</t>
  </si>
  <si>
    <t>1-ДО (сводная), раздел 4, строка 08, графа 5</t>
  </si>
  <si>
    <t>1-ДО (сводная), раздел 4, строка 09, графа 5</t>
  </si>
  <si>
    <t>1-ДО (сводная), раздел 4, строка 10, графа 5</t>
  </si>
  <si>
    <t>художественная</t>
  </si>
  <si>
    <t>эколого-биологическая</t>
  </si>
  <si>
    <t>туристско-краеведческая</t>
  </si>
  <si>
    <t>техническая</t>
  </si>
  <si>
    <t>спортивная</t>
  </si>
  <si>
    <t>военно-патриотическая и спортивно-техническая</t>
  </si>
  <si>
    <t>другие</t>
  </si>
  <si>
    <t>численность детей, обучающихся по дополнительным общеобразовательным программам в образовательных организациях дополнительного образования (включая филиалы) - в музыкальных, художественных, хореографических школах и школах искусств</t>
  </si>
  <si>
    <t>1-ДМШ раздел 2, строка 40, графа 3</t>
  </si>
  <si>
    <t>численность детей, обучающихся по дополнительным общеобразовательным программам в образовательных организациях дополнительного образования (включая филиалы) - в детских, юношеских спортивных школах</t>
  </si>
  <si>
    <t>образование</t>
  </si>
  <si>
    <t>культура</t>
  </si>
  <si>
    <t>спорт</t>
  </si>
  <si>
    <t>5.3.</t>
  </si>
  <si>
    <t>Кадровое обеспечение организаций, осуществляющих образовательную деятельность в части реализации дополнительных общеобразовательных программ</t>
  </si>
  <si>
    <t xml:space="preserve">Отношение среднемесячной заработной платы педагогических работников государственных и муниципальных образовательных организаций дополнительного образования к среднемесячной заработной плате в субъекте Российской Федерации </t>
  </si>
  <si>
    <t>5.3.1.</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</si>
  <si>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дополнительного образования (включая филиалы), реализующих дополнительные общеобразовательные программы для детей, - всего</t>
  </si>
  <si>
    <t>ЗП-образование строка 07, графа 3</t>
  </si>
  <si>
    <t>средняя численность педагогических работников (без внешних совместителей) государственных и муниципальных образовательных организаций дополнительного образования (включая филиалы), реализующих дополнительные общеобразовательные программы для детей</t>
  </si>
  <si>
    <t>ЗП-образование строка 07, графа 1</t>
  </si>
  <si>
    <t>среднемесячная номинальная начисленная заработная плата в субъекте Российской Федерации.</t>
  </si>
  <si>
    <t>5.4.</t>
  </si>
  <si>
    <t>Материально-техническое и информационное обеспечение образовательных организаций, осуществляющих образовательную деятельность в части реализации дополнительных общеобразовательных программ</t>
  </si>
  <si>
    <t xml:space="preserve">Общая площадь всех помещений организаций дополнительного образования в расчете на одного обучающегося </t>
  </si>
  <si>
    <t>5.4.1.</t>
  </si>
  <si>
    <t>общая площадь всех помещений образовательных организаций дополнительного образования (включая филиалы), реализующих дополнительные общеобразовательные программы для детей</t>
  </si>
  <si>
    <t>численность детей, обучающихся в образовательных организациях дополнительного образования (включая филиалы)</t>
  </si>
  <si>
    <t>5.4.2.</t>
  </si>
  <si>
    <t>Удельный вес числа организаций, имеющих водопровод, центральное отопление, канализацию, в общем числе образовательных организаций дополнительного образования:</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</si>
  <si>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 водопровод</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</si>
  <si>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 центральное отопление</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</si>
  <si>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 канализацию</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</si>
  <si>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t>
  </si>
  <si>
    <t>5.4.3.</t>
  </si>
  <si>
    <t>Число персональных компьютеров, используемых в учебных целях, в расчете на 100 обучающихся организаций дополнительного образования:</t>
  </si>
  <si>
    <t>число персональных компьютеров, используемых в учебных целях, в образовательных организациях дополнительного образования (включая филиалы), реализующих дополнительные общеобразовательные программы для детей</t>
  </si>
  <si>
    <t xml:space="preserve">число персональных компьютеров, используемых в учебных целях, имеющих доступ к Интернету, в образовательных организациях дополнительного образования (включая филиалы), реализующих дополнительные общеобразовательные программы для детей </t>
  </si>
  <si>
    <t>Изменение сети организаций, осуществляющих образовательную деятельность по дополнительным общеобразовательным программам (в том числе ликвидация и реорганизация организаций, осуществляющих образовательную деятельность)</t>
  </si>
  <si>
    <t>5.5.</t>
  </si>
  <si>
    <t xml:space="preserve">Темп роста числа образовательных организаций дополнительного образования </t>
  </si>
  <si>
    <t>5.5.1.</t>
  </si>
  <si>
    <t>число музыкальных, художественных, хореографических школ и школ искусств в отчетном году t</t>
  </si>
  <si>
    <t>число детских, юношеских спортивных школ в отчетном году t</t>
  </si>
  <si>
    <t>5-ФК раздел 1, строка 04, графа 3 – отчетный год</t>
  </si>
  <si>
    <t>1-ДМШ - отчетный год</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</si>
  <si>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в году t-1, предшествовавшем отчетному году t</t>
  </si>
  <si>
    <t>число музыкальных, художественных, хореографических школ и школ искусств в году t-1, предшествовавшем отчетному году t</t>
  </si>
  <si>
    <t>1-ДМШ - предыдущий год</t>
  </si>
  <si>
    <t>число детских, юношеских спортивных школ в году t-1, предшествовавшем отчетному году t</t>
  </si>
  <si>
    <t>5-ФК раздел 1, строка 04, графа 3 – предыдущий год</t>
  </si>
  <si>
    <t>Российская Федерация, субъекты Российской Федерации; города и поселки городского типа; сельская местность</t>
  </si>
  <si>
    <t>5.6.</t>
  </si>
  <si>
    <t>Финансово-экономическая деятельность образовательных организаций, осуществляющих образовательную деятельность в части реализации дополнительных общеобразовательных программ</t>
  </si>
  <si>
    <t xml:space="preserve">Общий объем финансовых средств, поступивших в образовательные организации дополнительного образования, в расчете на одного обучающегося </t>
  </si>
  <si>
    <t>5.6.1.</t>
  </si>
  <si>
    <t>общий объем финансирования образовательных организаций дополнительного образования (включая филиалы), реализующих дополнительные общеобразовательные программы для детей</t>
  </si>
  <si>
    <t xml:space="preserve">Удельный вес финансовых средств от приносящей доход деятельности в общем объеме финансовых средств образовательных организаций дополнительного образования </t>
  </si>
  <si>
    <t>объем средств от приносящей доход деятельности (внебюджетных средств), поступивших в образовательные организации дополнительного образования (включая филиалы), реализующие дополнительные общеобразовательные программы для детейи</t>
  </si>
  <si>
    <t>Структура организаций, осуществляющих образовательную деятельность, реализующих дополнительные общеобразовательные программы (в том числе характеристика их филиалов)</t>
  </si>
  <si>
    <t>5.7.</t>
  </si>
  <si>
    <t>5.7.1.</t>
  </si>
  <si>
    <t>Удельный вес числа организаций, имеющих филиалы, в общем числе образовательных организаций дополнительного образования</t>
  </si>
  <si>
    <t>число организаций дополнительного образования (включая филиалы), реализующих дополнительные общеобразовательные программы для детей, имеющих филиалы</t>
  </si>
  <si>
    <t>число организаций дополнительного образования (включая филиалы), реализующих дополнительные общеобразовательные программы для детей</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</si>
  <si>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дополнительных общеобразовательных программ</t>
  </si>
  <si>
    <t>5.8.</t>
  </si>
  <si>
    <t xml:space="preserve">Удельный вес числа организаций, имеющих пожарные краны и рукава, в общем числе образовательных организаций дополнительного образования </t>
  </si>
  <si>
    <t>5.8.1.</t>
  </si>
  <si>
    <t>5.8.2.</t>
  </si>
  <si>
    <t>Удельный вес числа организаций, имеющих дымовые извещатели, в общем числе образовательных организаций дополнительного образования</t>
  </si>
  <si>
    <t>5.8.3.</t>
  </si>
  <si>
    <t xml:space="preserve">Удельный вес числа организаций, здания которых находятся в аварийном состоянии, в общем числе образовательных организаций дополнительного образования </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</si>
  <si>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здания которых находятся в аварийном состоянии</t>
  </si>
  <si>
    <t>5.8.4.</t>
  </si>
  <si>
    <t xml:space="preserve">Удельный вес числа организаций, здания которых требуют капитального ремонта, в общем числе образовательных организаций дополнительного образования </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</si>
  <si>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здания которых требуют капитального ремонта</t>
  </si>
  <si>
    <t>Учебные и внеучебные достижения лиц, обучающихся по программам дополнительного образования детей</t>
  </si>
  <si>
    <t>5.9.</t>
  </si>
  <si>
    <t>5.9.1.</t>
  </si>
  <si>
    <t>6. Сведения о развитии дополнительного профессионального образования</t>
  </si>
  <si>
    <t>Численность населения, обучающегося по дополнительным профессиональным программам</t>
  </si>
  <si>
    <t>6.1.</t>
  </si>
  <si>
    <t>Охват населения программами дополнительного профессионального образования (удельный вес численности занятого населения в возрасте 25 - 64 лет, прошедшего повышение квалификации и (или) переподготовку, в общей численности занятого в экономике населения данной возрастной группы)</t>
  </si>
  <si>
    <t>численность занятых в возрасте 25 - 64 лет, прошедших повышение квалификации и (или) переподготовку в отчетном году</t>
  </si>
  <si>
    <t>численность занятых в возрасте 25 - 64 лет</t>
  </si>
  <si>
    <t>6.1.1.</t>
  </si>
  <si>
    <t>6.1.2.</t>
  </si>
  <si>
    <t>численность респондентов (руководителей предприятий и организаций реального сектора экономики), ответивших на вопрос "Какую долю от общей численности работников Вашего предприятия/компании составили работники, прошедшие профподготовку, обучение, повышение квалификации в различных организациях, стажировку"</t>
  </si>
  <si>
    <t>социологический опрос руководителей предприятий и организаций реального сектора экономики</t>
  </si>
  <si>
    <t>внутри предприятия/организации (без привлечения и оплаты сторонних лиц)</t>
  </si>
  <si>
    <t>в образовательной организации, осуществляющей образовательную деятельность по реализации образовательных программ среднего профессионального образования</t>
  </si>
  <si>
    <t>в образовательной организации, осуществляющей образовательную деятельность по реализации образовательных программ высшего образования</t>
  </si>
  <si>
    <t>в образовательной организации, осуществляющей образовательную деятельность по реализации дополнительных общеобразовательных программ</t>
  </si>
  <si>
    <t>в образовательной организации, осуществляющей образовательную деятельность по реализации дополнительных профессиональных программ</t>
  </si>
  <si>
    <t>в других организациях, не являющихся образовательными организациями (компании-партнеры, кадровые агентства, консалтинговые, тренинговые компании, государственные службы занятости и пр.)</t>
  </si>
  <si>
    <t>Удельный вес численности работников предприятий и организаций реального сектора экономики, прошедших в году, предшествующему проведению опроса, профессиональную подготовку, переподготовку, повышение квалификации, стажировку</t>
  </si>
  <si>
    <t>6.1.3.</t>
  </si>
  <si>
    <t>Удельный вес численности работников организаций, получивших дополнительное профессиональное образование, в общей численности штатных работников организаций</t>
  </si>
  <si>
    <t>численность работников списочного состава организаций, получивших дополнительное профессиональное образование в отчетном году</t>
  </si>
  <si>
    <t>1-кадры, раздел 1, строка 02, графа 1</t>
  </si>
  <si>
    <t>численность работников списочного состава организаций</t>
  </si>
  <si>
    <t>1-кадры раздел 1, строка 01, графа 1</t>
  </si>
  <si>
    <t>6.2.</t>
  </si>
  <si>
    <t>Содержание образовательной деятельности и организация образовательного процесса по дополнительным профессиональным программам</t>
  </si>
  <si>
    <t xml:space="preserve">Удельный вес численности лиц, получивших дополнительное профессиональное образование с использованием дистанционных образовательных технологий, в общей численности работников организаций, получивших дополнительное профессиональное образование </t>
  </si>
  <si>
    <t>6.2.1.</t>
  </si>
  <si>
    <t>численность работников списочного состава организаций, получивших дополнительное профессиональное образование с использованием дистанционных образовательных технологий в отчетном году</t>
  </si>
  <si>
    <t>1-кадры раздел 1, справка 3, графа 29</t>
  </si>
  <si>
    <t>1-кадры раздел 1, строка 02, графа 1</t>
  </si>
  <si>
    <t>6.3.</t>
  </si>
  <si>
    <t>Кадровое обеспечение организаций, осуществляющих образовательную деятельность в части реализации дополнительных образовательных программ</t>
  </si>
  <si>
    <t>6.3.1.</t>
  </si>
  <si>
    <t>Удельный вес численности лиц, имеющих ученую степень,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дополнительных профессиональных программам:</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</si>
  <si>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 имеющих ученую степень доктора наук</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</si>
  <si>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 имеющих ученую степень кандидата наук</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</si>
  <si>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t>
  </si>
  <si>
    <t>6.4.</t>
  </si>
  <si>
    <t>Материально-техническое и информационное обеспечение профессиональных организаций, осуществляющих образовательную деятельность в части реализации дополнительных профессиональных программ</t>
  </si>
  <si>
    <t xml:space="preserve">Удельный вес стоимости дорогостоящих машин и оборудования (стоимостью свыше 1 млн. рублей за ед.) в общей стоимости машин и оборудования образовательных организаций дополнительного профессионального образования </t>
  </si>
  <si>
    <t>6.4.1.</t>
  </si>
  <si>
    <t>стоимость дорогостоящих машин и оборудования (стоимостью свыше 1 млн. рублей за ед.) в организациях дополнительного профессионального образования (включая филиалы, реализующие дополнительные профессиональные программы)</t>
  </si>
  <si>
    <t>стоимость машин и оборудования в организациях дополнительного профессионального образования (включая филиалы, реализующие дополнительные профессиональные программы)</t>
  </si>
  <si>
    <t>Российская Федерация, субъекты Российской Федерации, государственные и муниципальные организации; частные организации (дополнительная информация)</t>
  </si>
  <si>
    <t xml:space="preserve">Число персональных компьютеров, используемых в учебных целях, в расчете на 100 слушателей организаций дополнительного профессионального образования: всего; имеющих доступ к Интернету </t>
  </si>
  <si>
    <t>6.4.2.</t>
  </si>
  <si>
    <t>число персональных компьютеров, используемых в учебных целях, в организациях дополнительного профессионального образования (включая филиалы, реализующие дополнительные профессиональные программы)</t>
  </si>
  <si>
    <t>число персональных компьютеров, используемых в учебных целях, подключенных к Интернету, в организациях дополнительного профессионального образования (включая филиалы, реализующие дополнительные профессиональные программы)</t>
  </si>
  <si>
    <t>численность слушателей организаций дополнительного профессионального образования (включая филиалы, реализующие дополнительные профессиональные программы)</t>
  </si>
  <si>
    <t>6.5.</t>
  </si>
  <si>
    <t>Изменение сети организаций, осуществляющих образовательную деятельность по дополнительным профессиональным программам (в том числе ликвидация и реорганизация организаций, осуществляющих образовательную деятельность)</t>
  </si>
  <si>
    <t xml:space="preserve">Темп роста числа организаций, осуществляющих образовательную деятельность по реализации дополнительных профессиональных программ: организации дополнительного профессионального образования; профессиональные образовательные организации; организации высшего образования </t>
  </si>
  <si>
    <t>6.5.1.</t>
  </si>
  <si>
    <t>организации дополнительного профессионального образования</t>
  </si>
  <si>
    <t>число организаций дополнительного профессионального образования (включая филиалы, реализующие дополнительные профессиональные программы) в отчетном году t</t>
  </si>
  <si>
    <t>число профессиональных образовательных организаций, реализующих дополнительные профессиональные программы (включая филиалы, реализующие дополнительные профессиональные программы) в отчетном году t</t>
  </si>
  <si>
    <t>число организаций высшего образования, реализующих дополнительные профессиональные программы (включая филиалы, реализующие дополнительные профессиональные программы) в отчетном году t</t>
  </si>
  <si>
    <t>число организаций дополнительного профессионального образования (включая филиалы, реализующие дополнительные профессиональные программы) в году t-1, предшествовавшем отчетному году t</t>
  </si>
  <si>
    <t>число профессиональных образовательных организаций, реализующих дополнительные профессиональные программы (включая филиалы, реализующие дополнительные профессиональные программы) в году t-1, предшествовавшем отчетному году t</t>
  </si>
  <si>
    <t>число организаций высшего образования, реализующих дополнительные профессиональные программы (включая их филиалы, реализующие дополнительные профессиональные программы) в году t-1, предшествовавшем отчетному году t</t>
  </si>
  <si>
    <t>6.6.</t>
  </si>
  <si>
    <t>Условия освоения дополнительных профессиональных программ лицами с ограниченными возможностями здоровья и инвалидами</t>
  </si>
  <si>
    <t>Удельный вес численности лиц с ограниченными возможностями здоровья и инвалидов в общей численности работников организаций, прошедших обучение по дополнительным профессиональным программам</t>
  </si>
  <si>
    <t>6.6.1.</t>
  </si>
  <si>
    <t>численность лиц с ограниченными возможностями здоровья и инвалидов, обученных по дополнительным профессиональным программам</t>
  </si>
  <si>
    <t>численность обученных по дополнительным профессиональным программам</t>
  </si>
  <si>
    <t>6.7.</t>
  </si>
  <si>
    <t>Научная деятельность организаций, осуществляющих образовательную деятельность, связанная с реализацией дополнительных образовательных программ</t>
  </si>
  <si>
    <t>Удельный вес финансовых средств, полученных от научной деятельности, в общем объеме финансовых средств организаций дополнительного профессионального образования</t>
  </si>
  <si>
    <t>6.7.1.</t>
  </si>
  <si>
    <t xml:space="preserve">объем средств, полученных от научных исследований и разработок, организаций дополнительного профессионального образования (включая филиалы, реализующие дополнительные профессиональные программы) </t>
  </si>
  <si>
    <t>объем средств организаций дополнительного профессионального образования (включая филиалы, реализующие дополнительные профессиональные программы)</t>
  </si>
  <si>
    <t>6.8.</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</si>
  <si>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дополнительных образовательных программ</t>
  </si>
  <si>
    <t>6.8.1.</t>
  </si>
  <si>
    <t>площадь учебно-лабораторных зданий организаций дополнительного профессионального образования (включая филиалы, реализующие дополнительные профессиональные программы), требующая капитального ремонта</t>
  </si>
  <si>
    <t>площадь общежитий организаций дополнительного профессионального образования (включая филиалы, реализующие дополнительные профессиональные программы), требующая капитального ремонта</t>
  </si>
  <si>
    <t>площадь учебно-лабораторных зданий организаций дополнительного профессионального образования (включая филиалы, реализующие дополнительные профессиональные программы)</t>
  </si>
  <si>
    <t>площадь общежитий организаций дополнительного профессионального образования (включая филиалы, реализующие дополнительные профессиональные программы)</t>
  </si>
  <si>
    <t>6.9.</t>
  </si>
  <si>
    <t>Профессиональные достижения выпускников организаций, реализующих программы дополнительного профессионального образования</t>
  </si>
  <si>
    <t>Оценка отношения среднемесячной заработной платы лиц, прошедших обучение по дополнительным профессиональным программам в течение последних 3 лет, и лиц, не обучавшихся по дополнительным образовательным программам в течение последних 3 лет</t>
  </si>
  <si>
    <t>6.9.1.</t>
  </si>
  <si>
    <t>среднемесячная заработная плата лиц, прошедших обучение по дополнительным профессиональным программам в течение последних 3-х лет</t>
  </si>
  <si>
    <t>среднемесячная заработная плата лиц, не обучавшихся по дополнительным профессиональным программам в течение последних 3-х лет</t>
  </si>
  <si>
    <t>IV. Профессиональное обучение</t>
  </si>
  <si>
    <t>7. Сведения о развитии профессионального обучения</t>
  </si>
  <si>
    <t>7.1.</t>
  </si>
  <si>
    <t>Численность лиц, прошедших обучение по образовательным программам профессионального обучения (в профессиональных образовательных организациях, реализующих образовательные программы среднего профессионального образования - программы подготовки квалифицированных рабочих, служащих)</t>
  </si>
  <si>
    <t>Численность краткосрочно обученных по договорам (численность лиц, прошедших подготовку рабочих (служащих); прошедших профессиональную переподготовку; прошедших повышение квалификации)</t>
  </si>
  <si>
    <t>1 (профтех) раздел 3, строка 01, графа 3</t>
  </si>
  <si>
    <t>человек</t>
  </si>
  <si>
    <t xml:space="preserve">Численность работников организаций, прошедших профессиональное обучение: всего; профессиональная подготовка по профессиям рабочих, должностям служащих; переподготовка рабочих, служащих; повышение квалификации рабочих, служащих </t>
  </si>
  <si>
    <t>7.1.1.</t>
  </si>
  <si>
    <t>7.1.2.</t>
  </si>
  <si>
    <t>1-кадры раздел 1, строка 09, графа 1</t>
  </si>
  <si>
    <t>1-кадры раздел 1, строка 10, графа 1</t>
  </si>
  <si>
    <t>1-кадры раздел 1, строка 11, графа 1</t>
  </si>
  <si>
    <t>1-кадры раздел 1, строка 12, графа 1</t>
  </si>
  <si>
    <t xml:space="preserve">Удельный вес численности работников организаций, прошедших профессиональное обучение, в общей численности штатных работников организаций </t>
  </si>
  <si>
    <t>общая численность работников списочного состава организаций, прошедших профессиональное обучение без учета лиц, обученных за счет собственных средств</t>
  </si>
  <si>
    <t>общая численность работников списочного состава организаций</t>
  </si>
  <si>
    <t>7.1.3.</t>
  </si>
  <si>
    <t>7.2.</t>
  </si>
  <si>
    <t>Содержание образовательной деятельности и организация образовательного процесса по основным программам профессионального обучения</t>
  </si>
  <si>
    <t xml:space="preserve">Удельный вес численности лиц, прошедших обучение по образовательным программам профессионального обучения по месту своей работы, в общей численности работников организаций, прошедших обучение по образовательным программам профессионального обучения </t>
  </si>
  <si>
    <t>7.2.1.</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</si>
  <si>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без отрыва от работы, без учета лиц, обученных за счет собственных средств</t>
  </si>
  <si>
    <t>1-кадры раздел 1, справка 2, строка 27</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</si>
  <si>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без учета лиц, обученных за счет собственных средств</t>
  </si>
  <si>
    <t>7.3.</t>
  </si>
  <si>
    <t>Кадровое обеспечение организаций, осуществляющих образовательную деятельность в части реализации основных программ дополнительного обучения</t>
  </si>
  <si>
    <t xml:space="preserve">Удельный вес численности лиц, имеющих высшее образование, в общей численности преподавателей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профессионального обучения </t>
  </si>
  <si>
    <t>7.3.1.</t>
  </si>
  <si>
    <t>численность преподавателей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профессионального обучения, имеющих высшее образование</t>
  </si>
  <si>
    <t>численность преподавателей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профессионального обучения</t>
  </si>
  <si>
    <t>7.4.</t>
  </si>
  <si>
    <t>Материально-техническое и информационное обеспечение организаций, осуществляющих образовательную деятельность в части реализации основных программ профессионального обучения</t>
  </si>
  <si>
    <t>Удельный вес стоимости дорогостоящих машин и оборудования (стоимостью свыше 1 млн. рублей за ед.) в общей стоимости машин и оборудования организаций, осуществляющих образовательную деятельность по реализации образовательных программ профессионального обучения</t>
  </si>
  <si>
    <t>7.4.1.</t>
  </si>
  <si>
    <t>стоимость дорогостоящих машин и оборудования (стоимостью свыше 1 млн. рублей за ед.) в организациях (включая филиалы), осуществляющих образовательную деятельность по реализации образовательных программ профессионального обучения</t>
  </si>
  <si>
    <t>стоимость машин и оборудования в организациях (включая филиалы), осуществляющих образовательную деятельность по реализации образовательных программ профессионального обучения</t>
  </si>
  <si>
    <t>7.5.</t>
  </si>
  <si>
    <t>Условия профессионального обучения лиц с ограниченными возможностями здоровья и инвалидов</t>
  </si>
  <si>
    <t>7.5.1.</t>
  </si>
  <si>
    <t>Удельный вес численности лиц с ограниченными возможностями здоровья и инвалидов в общей численности работников организаций, обученных по дополнительным профессиональным программам и программам профессионального обучения</t>
  </si>
  <si>
    <t>численность лиц с ограниченными возможностями здоровья, получивших дополнительное профессиональное образование, прошедших профессиональное обучение в отчетном году</t>
  </si>
  <si>
    <t>начиная с отчета за 2014 год</t>
  </si>
  <si>
    <t>численность инвалидов, получивших дополнительное профессиональное образование, прошедших профессиональное обучение в отчетном году</t>
  </si>
  <si>
    <t>1-кадры раздел 1, справка 2, строка 23</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</si>
  <si>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в отчетном году</t>
  </si>
  <si>
    <t>Трудоустройство (изменение условий профессиональной деятельности) выпускников организаций, осуществляющих образовательную деятельность</t>
  </si>
  <si>
    <t>7.6.</t>
  </si>
  <si>
    <t>Удельный вес лиц, трудоустроившихся в течение 1 года после окончания обучения по полученной профессии на рабочие места, требующие высокого уровня квалификации, в общей численности лиц, обученных по образовательным программам профессионального обучения</t>
  </si>
  <si>
    <t>7.6.1.</t>
  </si>
  <si>
    <t>численность лиц, трудоустроившихся в течение 1 года после окончания обучения по полученной профессии на рабочие места, требующие высокого уровня квалификации</t>
  </si>
  <si>
    <t>численность лиц, обученных по образовательным программам профессионального обучения</t>
  </si>
  <si>
    <t>Изменение сети организаций, осуществляющих образовательную деятельность по основным программам профессионального обучения (в том числе ликвидация и реорганизация организаций, осуществляющих образовательную деятельность)</t>
  </si>
  <si>
    <t>7.7.</t>
  </si>
  <si>
    <t>Число организаций, осуществляющих образовательную деятельность по образовательным программам профессионального обучения, в том числе: общеобразовательные организации; профессиональные образовательные организации; образовательные организации высшего образования; организации дополнительного образования; организации дополнительного профессионального образования; учебные центры профессиональной квалификации</t>
  </si>
  <si>
    <t>7.7.1.</t>
  </si>
  <si>
    <t>Финансово-экономическая деятельность организаций, осуществляющих образовательную деятельность в части обеспечения реализации основных программ профессионального обучения</t>
  </si>
  <si>
    <t>7.8.</t>
  </si>
  <si>
    <t xml:space="preserve">Структура финансовых средств, поступивших в организации, осуществляющих образовательную деятельность по реализации образовательных программ профессионального обучения: бюджетные ассигнования; финансовые средства от приносящей доход деятельности </t>
  </si>
  <si>
    <t>7.8.1.</t>
  </si>
  <si>
    <t>бюджетные ассигнования</t>
  </si>
  <si>
    <t xml:space="preserve">объем бюджетных ассигнований,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 </t>
  </si>
  <si>
    <t>объем финансовых средств от приносящей доход деятельности,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t>
  </si>
  <si>
    <t>объем финансовых средств,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t>
  </si>
  <si>
    <t>7.9.</t>
  </si>
  <si>
    <t>Сведения о представителях работодателей, участвующих в учебном процессе</t>
  </si>
  <si>
    <t xml:space="preserve">Удельный вес представителей работодателей, участвующих в учебном процессе, в общей численности преподавателей и мастеров производственного обучения организаций, осуществляющих образовательную деятельность по реализации образовательных программ профессионального обучения </t>
  </si>
  <si>
    <t>7.9.1.</t>
  </si>
  <si>
    <t>численность представителей работодателей организаций, привлеченных к образовательной деятельности по реализации образовательных программ профессионального обучения</t>
  </si>
  <si>
    <t>численность преподавателей и мастеров производственного обучения, осуществляющих образовательную деятельность по реализации образовательных программ профессионального обучения</t>
  </si>
  <si>
    <t>Число организаций, осуществляющих образовательную деятельность по образовательным программам профессионального обучения, в том числе:</t>
  </si>
  <si>
    <t>V. Дополнительная информация о системе образования</t>
  </si>
  <si>
    <t>8. Сведения об интеграции образования и науки, а также образования и сферы труда</t>
  </si>
  <si>
    <t>8.1.</t>
  </si>
  <si>
    <t>Сведения об интеграции образования и науки, а также образования и сферы труда</t>
  </si>
  <si>
    <t>Численность населения, обучающегося по программам профессионального обучения</t>
  </si>
  <si>
    <t xml:space="preserve">Удельный вес сектора организаций высшего образования во внутренних затратах на исследования и разработки </t>
  </si>
  <si>
    <t>8.1.1.</t>
  </si>
  <si>
    <t>внутренние затраты на исследования и разработки сектора высшего образования</t>
  </si>
  <si>
    <t>2-наука раздел 6, строка 606, графа 3</t>
  </si>
  <si>
    <t>внутренние затраты на исследования и разработки – всего</t>
  </si>
  <si>
    <t>2-наука раздел 6, строка 601, графа 3</t>
  </si>
  <si>
    <t>Участие организаций различных отраслей экономики в обеспечении и осуществлении образовательной деятельности</t>
  </si>
  <si>
    <t>исключительно профессиональной подготовки квалифицированных рабочих, служащих</t>
  </si>
  <si>
    <t>Оценка представителями организаций реального сектора экономики распространенности их сотрудничества с образовательными организациями, реализующими профессиональные образовательные программы (оценка удельного веса организаций реального сектора экономики, сотрудничавших с организациями, реализующими профессиональные образовательные программы, в общем числе организаций реального сектора экономики):</t>
  </si>
  <si>
    <t>профессиональной подготовки специалистов среднего звена</t>
  </si>
  <si>
    <t>бакалавриата, подготовки специалистов, магистратуры</t>
  </si>
  <si>
    <t>профессиональных образовательных организаций, реализующих только образовательные программы подготовки квалифицированных рабочих, служащих)</t>
  </si>
  <si>
    <t>профессиональных образовательных организаций, реализующих образовательные программы подготовки специалистов среднего звена</t>
  </si>
  <si>
    <t>образовательных организаций высшего образования</t>
  </si>
  <si>
    <t>Численность респондентов (руководителей предприятий и организаций реального сектора экономики), ответивших утвердительно (и выбравших хотя бы один из предложенных в анкете вариантов сотрудничества) на вопрос о том, сотрудничало ли предприятие или организация с какими-либо образовательными организациями, реализующими программы профессионального образования, с целью привлечения выпускников или студентов профильных специальностей</t>
  </si>
  <si>
    <t xml:space="preserve">Численность респондентов (руководителей предприятий и организаций реального сектора экономики), ответивших на вопрос о том, сотрудничало ли предприятие или организация с какими-либо образовательными организациями, реализующими программы профессионального образования, с целью привлечения выпускников или студентов профильных специальностей </t>
  </si>
  <si>
    <t>9. Сведения об интеграции российского образования с мировым образовательным пространством</t>
  </si>
  <si>
    <t>9.1.</t>
  </si>
  <si>
    <t xml:space="preserve">всего </t>
  </si>
  <si>
    <t>СПО-1 раздел 2.9, строка 01, графа 7 кроме граждан Российской Федерации</t>
  </si>
  <si>
    <t>граждане СНГ</t>
  </si>
  <si>
    <t>СПО-1 раздел 2.9, строка 01, графа 7 кроме граждан из стран Балтии, Грузии, Абхазии и Южной Осетии</t>
  </si>
  <si>
    <t>СПО-1 раздел 2.9, строка 01, графа 7</t>
  </si>
  <si>
    <t>9.2.</t>
  </si>
  <si>
    <t>Удельный вес численности иностранных студентов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</si>
  <si>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Удельный вес численности иностранных студентов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</si>
  <si>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ВПО-1 раздел 2.10, строка 01, графа 7 кроме граждан Российской Федерации</t>
  </si>
  <si>
    <t>ВПО-1 раздел 2.10, строка 01, графа 7 кроме граждан из стран Балтии, Грузии, Абхазии и Южной Осетии</t>
  </si>
  <si>
    <t>численность студентов, обучающихся по программам высшего образования - программам бакалавриата, программам специалитета, программам магистратуры</t>
  </si>
  <si>
    <t>ВПО-1 раздел 2.10, строка 01, графа 7</t>
  </si>
  <si>
    <t>10. Развитие системы оценки качества образования и информационной прозрачности системы образования</t>
  </si>
  <si>
    <t>10.1.1.</t>
  </si>
  <si>
    <t>Индекс удовлетворенности населения качеством образования, которое предоставляют образовательные организации</t>
  </si>
  <si>
    <t>дошкольное образование</t>
  </si>
  <si>
    <t>начальное общее, основное общее, среднее общее образование</t>
  </si>
  <si>
    <t>численность респондентов (членов домашних хозяйств), удовлетворенных качеством получаемого одним из членом домашнего хозяйства (в возрасте от 4 до 22 лет) образования; по уровням получаемого образования (выбрали при ответе на вопрос анкеты "Если говорить в целом, то Вас удовлетворяет или не удовлетворяет то качество образования, которое получает сегодня Ваш ребенок там, где он (она) обучается? (один ответ.)" варианты ответа "безусловно удовлетворены", "скорее удовлетворены")</t>
  </si>
  <si>
    <t>социологический опрос домашних хозяйств</t>
  </si>
  <si>
    <t>среднее профессиональное образование (подготовка квалифицированных рабочих, служащих);</t>
  </si>
  <si>
    <t>среднее профессиональное образование (подготовка специалистов среднего звена)</t>
  </si>
  <si>
    <t>высшее образование (бакалавриат, специалитет, магистратура)</t>
  </si>
  <si>
    <t>общая численность респондентов (членов домашних хозяйств), ответивших на вопрос анкеты "Если говорить в целом, то Вас удовлетворяет или не удовлетворяет то качество образования, которое получает сегодня Ваш ребенок там, где он (она) обучается? (один ответ.)", в составе домашнего хозяйства которого есть ребенок/молодой человек (девушка) в возрасте от 4 до 22 лет, получающий(-ая) образование; по уровням получаемого образования</t>
  </si>
  <si>
    <t>среднее профессиональное образование (подготовка квалифицированных рабочих, служащих)</t>
  </si>
  <si>
    <t>10.1.2.</t>
  </si>
  <si>
    <t>Индекс удовлетворенности работодателей качеством подготовки в образовательных организациях профессионального образования</t>
  </si>
  <si>
    <t>Результаты участия обучающихся в образовательных организациях в российских и международных тестированиях знаний, конкурсах и олимпиадах</t>
  </si>
  <si>
    <t>Удельный вес численности лиц, достигших базового уровня образовательных достижений в международных сопоставительных исследованиях качества образования (изучение качества чтения и понимания текста (PIRLS), исследование качества математического и естественнонаучного общего образования (TIMSS), оценка образовательных достижений учащихся (PISA)), в общей численности российских учащихся общеобразовательных организаций &lt;*&gt;:</t>
  </si>
  <si>
    <t>естествознание (4 класс);</t>
  </si>
  <si>
    <t>естествознание (8 класс);</t>
  </si>
  <si>
    <t>международное исследование PIRLS</t>
  </si>
  <si>
    <t>международное исследование TIMSS</t>
  </si>
  <si>
    <t>математика (4 класс)</t>
  </si>
  <si>
    <t>математика (8 класс)</t>
  </si>
  <si>
    <t>международное исследование PISA</t>
  </si>
  <si>
    <t>читательская грамотность</t>
  </si>
  <si>
    <t>математическая грамотность</t>
  </si>
  <si>
    <t>10.2.1.</t>
  </si>
  <si>
    <t xml:space="preserve">Удельный вес численности студентов образовательных организаций высшего образования, использующих образовательный кредит для оплаты обучения, в общей численности обучающихся на платной основе </t>
  </si>
  <si>
    <t>численность студентов, обучающихся с полным возмещением стоимости обучения по программам высшего образования - программам бакалавриата, программам специалитета, программам магистратуры, использующих образовательный кредит для оплаты обучения</t>
  </si>
  <si>
    <t>численность студентов, обучающихся с полным возмещением стоимости обучения по программам высшего образования - программам бакалавриата, программам специалитета, программам магистратуры</t>
  </si>
  <si>
    <t>ВПО-1 раздел 2.1.2, строка 15, графа 19</t>
  </si>
  <si>
    <t>10.3.1.</t>
  </si>
  <si>
    <t>10.3.2.</t>
  </si>
  <si>
    <t>Удельный вес числа общеобразовательных организаций, в которых созданы коллегиальные органы управления,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</si>
  <si>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в которых созданы коллегиальные органы управления с участием общественности</t>
  </si>
  <si>
    <t>76-РИК раздел 8, строка 03, графа 3</t>
  </si>
  <si>
    <t>Российская Федерация, субъекты Российской Федерации; государственные и муниципальные организации; частные организации</t>
  </si>
  <si>
    <t>10.4.1.</t>
  </si>
  <si>
    <t>Удельный вес образовательных организаций, охваченных инструментами независимой системы оценки качества образования, в общем числе образовательных организаций</t>
  </si>
  <si>
    <t>число образовательных организаций, охваченных инструментами независимой системы оценки качества образования</t>
  </si>
  <si>
    <t>ведомственный мониторинг Минобрнауки России</t>
  </si>
  <si>
    <t>число образовательных организаций</t>
  </si>
  <si>
    <t>11. Сведения о создании условий социализации и самореализации молодежи (в том числе лиц, обучающихся по уровням и видам образования)</t>
  </si>
  <si>
    <t>10.1.</t>
  </si>
  <si>
    <t>Оценка деятельности системы образования гражданами</t>
  </si>
  <si>
    <t>10.2.</t>
  </si>
  <si>
    <t>10.3.</t>
  </si>
  <si>
    <t>Развитие механизмов государственно-частного управления в системе образования</t>
  </si>
  <si>
    <t>10.4.</t>
  </si>
  <si>
    <t>Развитие региональных систем оценки качества образования</t>
  </si>
  <si>
    <t>11.1.</t>
  </si>
  <si>
    <t>Социально-демографические характеристики и социальная интеграция</t>
  </si>
  <si>
    <t>Удельный вес населения в возрасте 5 - 18 лет, охваченного образованием, в общей численности населения в возрасте 5 - 18 лет</t>
  </si>
  <si>
    <t>11.1.1.</t>
  </si>
  <si>
    <t>численность лиц в возрасте 5 - 18 лет, обучающихся по образовательным программам</t>
  </si>
  <si>
    <t>дошкольного образования</t>
  </si>
  <si>
    <t>начального общего, основного общего и среднего общего образования</t>
  </si>
  <si>
    <t>76-РИК раздел 5, строки 01-14, графа 7 плюс СВ-1 раздел 6, строка 01, графы 4, 5</t>
  </si>
  <si>
    <t>среднего профессионального образования - программам подготовки квалифицированных рабочих, служащих. Не учитывается численность краткосрочно обученных по договорам в отчетном году</t>
  </si>
  <si>
    <t>1 (профтех) раздел 4, строки 02-10 графы 3, 10</t>
  </si>
  <si>
    <t>среднего профессионального образования - программам подготовки специалистов среднего звена</t>
  </si>
  <si>
    <t>СПО-1 раздел 2.10, строки 02-07, графа 6 – все формы обучения</t>
  </si>
  <si>
    <t>высшего образования - программам бакалавриата, специалитета, магистратуры</t>
  </si>
  <si>
    <t>ВПО-1 раздел 2.11, строки 02-05, графа 3 – все формы обучения</t>
  </si>
  <si>
    <t>численность постоянного населения в возрасте 5 - 18 лет (на 1 января следующего за отчетным года)</t>
  </si>
  <si>
    <t>11.1.2.</t>
  </si>
  <si>
    <t>Структура подготовки кадров по профессиональным образовательным программам (удельный вес численности выпускников, освоивших профессиональные образовательные программы соответствующего уровня, в общей численности выпускников):</t>
  </si>
  <si>
    <t>1 (профтех) раздел 1, строка 01, графа 6</t>
  </si>
  <si>
    <t>СПО-1 раздел 2.1.2, строка 01, графа 25</t>
  </si>
  <si>
    <t>ВПО-1 раздел 2.1.2, строка 0, графа 23</t>
  </si>
  <si>
    <t>ВПО-1 раздел 2.1.2,строка 06, графа 23</t>
  </si>
  <si>
    <t>ВПО-1 раздел 2.1.2, строка 11, графа 23</t>
  </si>
  <si>
    <t>1-НК раздел 1, строка 101, графа 7</t>
  </si>
  <si>
    <t>11.2.</t>
  </si>
  <si>
    <t>Ценностные ориентации молодежи и ее участие в общественных достижениях</t>
  </si>
  <si>
    <t xml:space="preserve">Удельный вес численности молодых людей в возрасте от 14 до 30 лет, участвующих в деятельности молодежных общественных объединений, в общей численности молодежи в возрасте от 14 до 30 лет </t>
  </si>
  <si>
    <t>11.2.1.</t>
  </si>
  <si>
    <t>численность лиц в возрасте 14 - 29 лет, участвующих в деятельности молодежных общественных объединений</t>
  </si>
  <si>
    <t>численность постоянного населения в возрасте 14 - 29 лет</t>
  </si>
  <si>
    <t>11.3.</t>
  </si>
  <si>
    <t>Образование и занятость молодежи</t>
  </si>
  <si>
    <t xml:space="preserve">Оценка удельного веса лиц, совмещающих учебу и работу, в общей численности студентов старших курсов образовательных организаций высшего образования </t>
  </si>
  <si>
    <t>11.3.1.</t>
  </si>
  <si>
    <t>численность респондентов (студентов старших курсов), ответивших утвердительно на вопрос анкеты "Скажите, пожалуйста, за последние 12 месяцев Вы работали (или подрабатывали время от времени) на платной основе - или нет? Если таких работ было несколько, расскажите об одной, самой важной для вас (отметьте один ответ)" (т.е. выбравших один из вариантов ответа: "Да, имели постоянную работу", "Да, работали временно, по договору и т.д.", "Да, были разовые заработки, нерегулярные приработки")</t>
  </si>
  <si>
    <t>социологический опрос студентов старших курсов образовательных организаций высшего образования</t>
  </si>
  <si>
    <t>численность респондентов (студентов старших курсов), ответивших на вопрос анкеты "Скажите, пожалуйста, за последние 12 месяцев Вы работали (или подрабатывали время от времени) на платной основе - или нет? Если таких работ было несколько, расскажите об одной, самой важной для вас (отметьте один ответ)"</t>
  </si>
  <si>
    <t>11.4.</t>
  </si>
  <si>
    <t>Деятельность федеральных органов исполнительной власти и органов исполнительной власти субъектов Российской Федерации по созданию условий социализации и самореализации молодежи</t>
  </si>
  <si>
    <t>11.4.1.</t>
  </si>
  <si>
    <t>Удельный вес численности молодых людей в возрасте от 14 до 30 лет, вовлеченных в реализуемые федеральными органами исполнительной власти и органами исполнительной власти субъектов Российской Федерации проекты и программы в сфере поддержки талантливой молодежи, в общей численности молодежи в возрасте от 14 до 30 лет</t>
  </si>
  <si>
    <t>численность лиц в возрасте 14 - 29 лет, вовлеченных в реализуемые федеральными органами исполнительной власти и органами исполнительной власти субъектов Российской Федерации проекты и программы (разово или на постоянной основе) в сфере поддержки талантливой молодежи</t>
  </si>
  <si>
    <t>численность постоянного населения в возрасте 14 - 29 лет (на 1 января следующего за отчетным года)</t>
  </si>
  <si>
    <t>квадратный метр</t>
  </si>
  <si>
    <t>единица</t>
  </si>
  <si>
    <t>день</t>
  </si>
  <si>
    <t>тысяча рублей</t>
  </si>
  <si>
    <t>Отношение среднемесячной заработной платы педагогических работников государственных и муниципальных общеобразовательных организаций к среднемесячной заработной плате в субъекте Российской Федерации:</t>
  </si>
  <si>
    <t>педагогических работников - всего</t>
  </si>
  <si>
    <t>балл</t>
  </si>
  <si>
    <t>Удельный вес численности выпускников, освоивших образовательные программы среднего общего образования, получивших количество баллов по ЕГЭ ниже минимального, в общей численности выпускников, освоивших образовательные программы среднего общего образования, сдававших ЕГЭ:</t>
  </si>
  <si>
    <t>численность получивших ниже минимального количества баллов, по результатам ЕГЭ по предмету i</t>
  </si>
  <si>
    <t>Удельный вес численности выпускников, освоивших образовательные программы основного общего образования, получивших количество баллов по ГИА ниже минимального, в общей численности выпускников, освоивших образовательные программы основного общего образования, сдававших ГИА:</t>
  </si>
  <si>
    <t>по русскому языку</t>
  </si>
  <si>
    <t>по математике</t>
  </si>
  <si>
    <t>численость получивших ниже минимального количества баллов по результатам ГИА по предмету i</t>
  </si>
  <si>
    <t>Среднее значение количества баллов по государственной итоговой аттестации (далее - ГИА), полученных выпускниками, освоившими образовательные программы основного общего образования:</t>
  </si>
  <si>
    <t>Среднее значение количества баллов по ЕГЭ, полученных выпускниками, освоившими образовательные программы среднего общего образования:</t>
  </si>
  <si>
    <t>общая численность выпускников, освоивших образовательные программы среднего общего образования, сдававших ЕГЭ</t>
  </si>
  <si>
    <t>общая численность выпускников, освоивших образовательные программы основного общего образования, сдававших ГИА</t>
  </si>
  <si>
    <t>высшую квалификационную категорию</t>
  </si>
  <si>
    <t>первую квалификационную категорию</t>
  </si>
  <si>
    <t>программы подготовки специалистов среднего звена</t>
  </si>
  <si>
    <t>3.4.6.</t>
  </si>
  <si>
    <t>Темп роста числа образовательных организаций, реализующих:</t>
  </si>
  <si>
    <t>Программы подготовки специалистов среднего звена:</t>
  </si>
  <si>
    <t>Программы подготовки квалифицированных рабочих, служащих:</t>
  </si>
  <si>
    <t>Объем финансовых средств, поступивших в профессиональные образовательные организации, в расчете на 1 студента:</t>
  </si>
  <si>
    <t>Удельный вес численности лиц, имеющих ученую степень,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высшего образования:</t>
  </si>
  <si>
    <t>доктора наук</t>
  </si>
  <si>
    <t>кандидата наук</t>
  </si>
  <si>
    <t>4.4.3.</t>
  </si>
  <si>
    <t>Удельный вес площади зданий, оборудованной охранно-пожарной сигнализацией, в общей площади зданий образовательных организаций высшего образования:</t>
  </si>
  <si>
    <t>Результаты занятий детей в организациях дополнительного образования (оценка удельного веса родителей детей, обучающихся в образовательных организациях дополнительного образования, отметивших различные результаты обучения их детей, в общей численности родителей детей, обучающихся в образовательных организациях дополнительного образования):</t>
  </si>
  <si>
    <t>приобретение актуальных знаний, практических навыков обучающимися</t>
  </si>
  <si>
    <t>выявление и развитие таланта и способностей обучающихся</t>
  </si>
  <si>
    <t>профессиональная ориентация, освоение значимых для профессиональной деятельности навыков обучающимися</t>
  </si>
  <si>
    <t>улучшение знаний школьной программы обучающимися</t>
  </si>
  <si>
    <t>Удельный вес площади зданий, требующей капитального ремонта, в общей площади зданий организаций дополнительного профессионального образования:</t>
  </si>
  <si>
    <t>тысяча человек</t>
  </si>
  <si>
    <t>профессиональная подготовка по профессиям рабочих, должностям служащих</t>
  </si>
  <si>
    <t>переподготовка рабочих, служащих</t>
  </si>
  <si>
    <t>повышение квалификации рабочих, служащих</t>
  </si>
  <si>
    <t>организации дополнительного образования</t>
  </si>
  <si>
    <t>образовательные организации высшего образования</t>
  </si>
  <si>
    <t>общеобразовательные организации</t>
  </si>
  <si>
    <t>учебные центры профессиональной квалификации</t>
  </si>
  <si>
    <t>финансовые средства от приносящей доход деятельности</t>
  </si>
  <si>
    <t>8.2.</t>
  </si>
  <si>
    <t>8.2.1.</t>
  </si>
  <si>
    <t>естественнонаучная грамотность</t>
  </si>
  <si>
    <t>образовательные программы среднего профессионального образования - программы подготовки квалифицированных рабочих, служащих</t>
  </si>
  <si>
    <t>образовательные программы среднего профессионального образования - программы подготовки специалистов среднего звена</t>
  </si>
  <si>
    <t>образовательные программы высшего образования - программы бакалавриата</t>
  </si>
  <si>
    <t>программы высшего образования - программы специалитета</t>
  </si>
  <si>
    <t>образовательные программы высшего образования - программы магистратуры</t>
  </si>
  <si>
    <t>образовательные программы высшего образования - программы подготовки кадров высшей квалификации</t>
  </si>
  <si>
    <t>места</t>
  </si>
  <si>
    <t>численность респондентов</t>
  </si>
  <si>
    <t>Российская Федерация (субъекты Российской Федерации; государственные и муниципальные организации; частные организации</t>
  </si>
  <si>
    <t>социологический опрос родителей детей, обучающихся в организациях дополнительного образования</t>
  </si>
  <si>
    <r>
      <t xml:space="preserve">ВПО-1 раздел 3.3, строка 05, графа </t>
    </r>
    <r>
      <rPr>
        <sz val="11"/>
        <color rgb="FFFF0000"/>
        <rFont val="Calibri"/>
        <family val="2"/>
        <charset val="204"/>
        <scheme val="minor"/>
      </rPr>
      <t>4</t>
    </r>
  </si>
  <si>
    <r>
      <t>ВПО-1 раздел 3.1.1, строка 0</t>
    </r>
    <r>
      <rPr>
        <sz val="11"/>
        <color rgb="FFFF0000"/>
        <rFont val="Calibri"/>
        <family val="2"/>
        <charset val="204"/>
        <scheme val="minor"/>
      </rPr>
      <t>7</t>
    </r>
    <r>
      <rPr>
        <sz val="11"/>
        <color theme="1"/>
        <rFont val="Calibri"/>
        <family val="2"/>
        <charset val="204"/>
        <scheme val="minor"/>
      </rPr>
      <t>, графа 3</t>
    </r>
  </si>
  <si>
    <r>
      <t>ВПО-</t>
    </r>
    <r>
      <rPr>
        <sz val="11"/>
        <color rgb="FFFF0000"/>
        <rFont val="Calibri"/>
        <family val="2"/>
        <charset val="204"/>
        <scheme val="minor"/>
      </rPr>
      <t>1</t>
    </r>
    <r>
      <rPr>
        <sz val="11"/>
        <color theme="1"/>
        <rFont val="Calibri"/>
        <family val="2"/>
        <charset val="204"/>
        <scheme val="minor"/>
      </rPr>
      <t xml:space="preserve"> раздел 2.3, строка </t>
    </r>
    <r>
      <rPr>
        <sz val="11"/>
        <color rgb="FFFF0000"/>
        <rFont val="Calibri"/>
        <family val="2"/>
        <charset val="204"/>
        <scheme val="minor"/>
      </rPr>
      <t>17</t>
    </r>
    <r>
      <rPr>
        <sz val="11"/>
        <color theme="1"/>
        <rFont val="Calibri"/>
        <family val="2"/>
        <charset val="204"/>
        <scheme val="minor"/>
      </rPr>
      <t>, графы 4</t>
    </r>
  </si>
  <si>
    <r>
      <t>ВПО-</t>
    </r>
    <r>
      <rPr>
        <sz val="11"/>
        <color rgb="FFFF0000"/>
        <rFont val="Calibri"/>
        <family val="2"/>
        <charset val="204"/>
        <scheme val="minor"/>
      </rPr>
      <t>1</t>
    </r>
    <r>
      <rPr>
        <sz val="11"/>
        <color theme="1"/>
        <rFont val="Calibri"/>
        <family val="2"/>
        <charset val="204"/>
        <scheme val="minor"/>
      </rPr>
      <t xml:space="preserve"> раздел 2.3, строка </t>
    </r>
    <r>
      <rPr>
        <sz val="11"/>
        <color rgb="FFFF0000"/>
        <rFont val="Calibri"/>
        <family val="2"/>
        <charset val="204"/>
        <scheme val="minor"/>
      </rPr>
      <t>17</t>
    </r>
    <r>
      <rPr>
        <sz val="11"/>
        <color theme="1"/>
        <rFont val="Calibri"/>
        <family val="2"/>
        <charset val="204"/>
        <scheme val="minor"/>
      </rPr>
      <t>, графы 10</t>
    </r>
  </si>
  <si>
    <r>
      <t>ВПО-</t>
    </r>
    <r>
      <rPr>
        <sz val="11"/>
        <color rgb="FFFF0000"/>
        <rFont val="Calibri"/>
        <family val="2"/>
        <charset val="204"/>
        <scheme val="minor"/>
      </rPr>
      <t>1</t>
    </r>
    <r>
      <rPr>
        <sz val="11"/>
        <color theme="1"/>
        <rFont val="Calibri"/>
        <family val="2"/>
        <charset val="204"/>
        <scheme val="minor"/>
      </rPr>
      <t xml:space="preserve"> раздел 2.3, строка </t>
    </r>
    <r>
      <rPr>
        <sz val="11"/>
        <color rgb="FFFF0000"/>
        <rFont val="Calibri"/>
        <family val="2"/>
        <charset val="204"/>
        <scheme val="minor"/>
      </rPr>
      <t>17</t>
    </r>
    <r>
      <rPr>
        <sz val="11"/>
        <color theme="1"/>
        <rFont val="Calibri"/>
        <family val="2"/>
        <charset val="204"/>
        <scheme val="minor"/>
      </rPr>
      <t>, графы 7</t>
    </r>
  </si>
  <si>
    <r>
      <t>ВПО-</t>
    </r>
    <r>
      <rPr>
        <sz val="11"/>
        <color rgb="FFFF0000"/>
        <rFont val="Calibri"/>
        <family val="2"/>
        <charset val="204"/>
        <scheme val="minor"/>
      </rPr>
      <t>1</t>
    </r>
    <r>
      <rPr>
        <sz val="11"/>
        <color theme="1"/>
        <rFont val="Calibri"/>
        <family val="2"/>
        <charset val="204"/>
        <scheme val="minor"/>
      </rPr>
      <t xml:space="preserve"> раздел 2.1.2, строка 15, графа 19 -</t>
    </r>
    <r>
      <rPr>
        <sz val="11"/>
        <color rgb="FFFF0000"/>
        <rFont val="Calibri"/>
        <family val="2"/>
        <charset val="204"/>
        <scheme val="minor"/>
      </rPr>
      <t>все формы обучения</t>
    </r>
  </si>
  <si>
    <t>5.6.2.</t>
  </si>
  <si>
    <r>
      <t xml:space="preserve">СПО-2 раздел 1.1, строка 07, графы </t>
    </r>
    <r>
      <rPr>
        <sz val="11"/>
        <color rgb="FFFF0000"/>
        <rFont val="Calibri"/>
        <family val="2"/>
        <charset val="204"/>
        <scheme val="minor"/>
      </rPr>
      <t>4</t>
    </r>
  </si>
  <si>
    <t>в государственных образовательных организациях</t>
  </si>
  <si>
    <t>в городских поселениях</t>
  </si>
  <si>
    <t>в негосударственных образовательных организациях</t>
  </si>
  <si>
    <t>в сельской местности</t>
  </si>
  <si>
    <t>сбор с 2015 года</t>
  </si>
  <si>
    <t>рублей</t>
  </si>
  <si>
    <t>Д-4 раздел 1, строка 63, 64, графа 3 - государственные</t>
  </si>
  <si>
    <t xml:space="preserve">СВ-1 раздел 8, строка 01 графа 3 </t>
  </si>
  <si>
    <t>Д-4 раздел 1, строка 23, графа 3 - государственные</t>
  </si>
  <si>
    <t>Д-4 раздел 2, строка 23, графа 3 - государственные</t>
  </si>
  <si>
    <t>Д-4 раздел 1, строка 23, графа 3 - негосударственные</t>
  </si>
  <si>
    <t>Д-4 раздел 2, строка 23, графа 3 - негосударственные</t>
  </si>
  <si>
    <t xml:space="preserve">   в государственных образовательных организациях</t>
  </si>
  <si>
    <t xml:space="preserve">   в негосударственных образовательных организациях</t>
  </si>
  <si>
    <t>Оценка родителями учащихся общеобразовательных организаций возможности выбора общеобразовательной организации (оценка удельного веса численности родителей учащихся, отдавших своих детей в конкретную школу по причине отсутствия других вариантов для выбора, в общей численности родителей учащихся общеобразовательных организаций) *</t>
  </si>
  <si>
    <t xml:space="preserve">   водоснабжение</t>
  </si>
  <si>
    <t xml:space="preserve">   центральное отопление</t>
  </si>
  <si>
    <t xml:space="preserve">   канализацию </t>
  </si>
  <si>
    <t xml:space="preserve">      в государственных образовательных организациях</t>
  </si>
  <si>
    <t xml:space="preserve">      в негосударственных образовательных организациях</t>
  </si>
  <si>
    <t xml:space="preserve">         в городских поселениях</t>
  </si>
  <si>
    <t xml:space="preserve">         в сельской местности</t>
  </si>
  <si>
    <t xml:space="preserve">   всего</t>
  </si>
  <si>
    <t xml:space="preserve">   имеющих доступ к Интернету </t>
  </si>
  <si>
    <t xml:space="preserve">      водоснабжение</t>
  </si>
  <si>
    <t xml:space="preserve">      центральное отопление</t>
  </si>
  <si>
    <t xml:space="preserve">      канализацию </t>
  </si>
  <si>
    <t>Охват детей в возрасте 5 - 18 лет дополнительными общеобразовательными программами (удельный вес численности детей, получающих услуги дополнительного образования, в общей численности детей в возрасте 5 - 18 лет) *****</t>
  </si>
  <si>
    <t>приобретение актуальных знаний, практических навыков обучающимися *</t>
  </si>
  <si>
    <t>выявление и развитие таланта и способностей обучающихся *</t>
  </si>
  <si>
    <t>профессиональная ориентация, освоение значимых для профессиональной деятельности навыков обучающимися *</t>
  </si>
  <si>
    <t>улучшение знаний школьной программы обучающимися *</t>
  </si>
  <si>
    <t xml:space="preserve">   на базе основного общего образования</t>
  </si>
  <si>
    <t xml:space="preserve">   на базе среднего общего образования</t>
  </si>
  <si>
    <t xml:space="preserve">   очная форма обучения</t>
  </si>
  <si>
    <t xml:space="preserve">   очно-заочная форма обучения</t>
  </si>
  <si>
    <t xml:space="preserve">   заочная форма обучения</t>
  </si>
  <si>
    <t xml:space="preserve">   преподаватели</t>
  </si>
  <si>
    <t xml:space="preserve">   высшая квалификационная категория</t>
  </si>
  <si>
    <t xml:space="preserve">   первую квалификационную категорию</t>
  </si>
  <si>
    <t xml:space="preserve">   программы подготовки квалифицированных рабочих, служащих</t>
  </si>
  <si>
    <t xml:space="preserve">   программы подготовки специалистов среднего звена</t>
  </si>
  <si>
    <t xml:space="preserve">   программы подготовки специалистов среднего звена </t>
  </si>
  <si>
    <t xml:space="preserve">   программы подготовки квалифицированных рабочих, служащих *</t>
  </si>
  <si>
    <t xml:space="preserve">   программы подготовки специалистов среднего звена *</t>
  </si>
  <si>
    <t xml:space="preserve">   Программы подготовки квалифицированных рабочих, служащих:</t>
  </si>
  <si>
    <t xml:space="preserve">   Программы подготовки специалистов среднего звена:</t>
  </si>
  <si>
    <t xml:space="preserve">   профессиональные образовательные организации</t>
  </si>
  <si>
    <t xml:space="preserve">   организации высшего образования</t>
  </si>
  <si>
    <t xml:space="preserve">   организации высшего образования </t>
  </si>
  <si>
    <t xml:space="preserve">   профессиональные образовательные организации, реализующие образовательные программы среднего профессионального образования - исключительно программы подготовки квалифицированных рабочих, служащих</t>
  </si>
  <si>
    <t xml:space="preserve">   профессиональные образовательные организации, реализующие образовательные программы среднего профессионального образования - программы подготовки специалистов среднего звена</t>
  </si>
  <si>
    <t xml:space="preserve">   учебно-лабораторные здания</t>
  </si>
  <si>
    <t xml:space="preserve">   общежития</t>
  </si>
  <si>
    <t>Распространенность участия в исследованиях и разработках преподавателей организаций высшего образования (оценка удельного веса штатных преподавателей образовательных организаций высшего образования, занимающихся научной работой, в общей численности штатных преподавателей образовательных организаций высшего образования) *</t>
  </si>
  <si>
    <t>Удельный вес численности студентов, обучающихся в ведущих классических университетах Российской Федерации, федеральных университетах и национальных исследовательских университетах,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</si>
  <si>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 xml:space="preserve">   программы бакалавриата</t>
  </si>
  <si>
    <t xml:space="preserve">   программы специалитета</t>
  </si>
  <si>
    <t xml:space="preserve">   программы магистратуры</t>
  </si>
  <si>
    <t xml:space="preserve">   доктора наук</t>
  </si>
  <si>
    <t xml:space="preserve">   кандидата наук</t>
  </si>
  <si>
    <t>Удельный вес штатных преподавателей образовательных организаций высшего образования, желающих сменить работу, в общей численности штатных преподавателей образовательных организаций высшего образования *</t>
  </si>
  <si>
    <t>Распространенность дополнительной занятости преподавателей образовательных организаций высшего образования (удельный вес штатных преподавателей образовательных организаций высшего образования, имеющих дополнительную работу, в общей численности штатных преподавателей образовательных организаций высшего образования) *</t>
  </si>
  <si>
    <t>Уровень безработицы выпускников, завершивших обучение по образовательным программам высшего образования - программам бакалавриата, программам специалитета, программам магистратуры в течение трех лет, предшествующих отчетному периоду *</t>
  </si>
  <si>
    <t>Распространенность участия в научной работе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(оценка удельного веса лиц, занимающихся научной работой в общей численности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t>
  </si>
  <si>
    <t>Охват населения программами дополнительного профессионального образования (удельный вес численности занятого населения в возрасте 25-64 лет, прошедшего повышение квалификации и (или) переподготовку, в общей численности занятого в экономике населения данной возрастной группы) **</t>
  </si>
  <si>
    <t>доктора наук **</t>
  </si>
  <si>
    <t>кандидата наук **</t>
  </si>
  <si>
    <t>Удельный вес стоимости дорогостоящих машин и оборудования (стоимостью свыше 1 млн. рублей за ед.) в общей стоимости машин и оборудования образовательных организаций дополнительного профессионального образования  **</t>
  </si>
  <si>
    <t>всего ****</t>
  </si>
  <si>
    <t>имеющих доступ к Интернету ****</t>
  </si>
  <si>
    <t>организации дополнительного профессионального образования ****</t>
  </si>
  <si>
    <t>профессиональные образовательные организации ****</t>
  </si>
  <si>
    <t>организации высшего образования ****</t>
  </si>
  <si>
    <t>Удельный вес численности лиц с ограниченными возможностями здоровья и инвалидов в общей численности работников организаций, прошедших обучение по дополнительным профессиональным программам **</t>
  </si>
  <si>
    <t>Удельный вес финансовых средств, полученных от научной деятельности, в общем объеме финансовых средств организаций дополнительного профессионального образования **</t>
  </si>
  <si>
    <t>учебно-лабораторные здания **</t>
  </si>
  <si>
    <t>общежития **</t>
  </si>
  <si>
    <t>Оценка отношения среднемесячной заработной платы лиц, прошедших обучение по дополнительным профессиональным программам в течение последних 3 лет, и лиц, не обучавшихся по дополнительным образовательным программам в течение последних 3 лет * (****)</t>
  </si>
  <si>
    <t>Удельный вес численности лиц, имеющих высшее образование, в общей численности преподавателей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профессионального обучения ****</t>
  </si>
  <si>
    <t>Удельный вес стоимости дорогостоящих машин и оборудования (стоимостью свыше 1 млн. рублей за ед.) в общей стоимости машин и оборудования организаций, осуществляющих образовательную деятельность по реализации образовательных программ профессионального обучения ****</t>
  </si>
  <si>
    <t>Удельный вес лиц, трудоустроившихся в течение 1 года после окончания обучения по полученной профессии на рабочие места, требующие высокого уровня квалификации, в общей численности лиц, обученных по образовательным программам профессионального обучения **</t>
  </si>
  <si>
    <t>общеобразовательные организации ****</t>
  </si>
  <si>
    <t>образовательные организации высшего образования ****</t>
  </si>
  <si>
    <t>организации дополнительного образования ****</t>
  </si>
  <si>
    <t>учебные центры профессиональной квалификации ****</t>
  </si>
  <si>
    <t>бюджетные ассигнования * (****)</t>
  </si>
  <si>
    <t>финансовые средства от приносящей доход деятельности * (****)</t>
  </si>
  <si>
    <t>Удельный вес представителей работодателей, участвующих в учебном процессе, в общей численности преподавателей и мастеров производственного обучения организаций, осуществляющих образовательную деятельность по реализации образовательных программ профессионального обучения * (****)</t>
  </si>
  <si>
    <t>исключительно профессиональной подготовки квалифицированных рабочих, служащих *</t>
  </si>
  <si>
    <t>профессиональной подготовки специалистов среднего звена *</t>
  </si>
  <si>
    <t>бакалавриата, подготовки специалистов, магистратуры *</t>
  </si>
  <si>
    <t xml:space="preserve">   всего </t>
  </si>
  <si>
    <t xml:space="preserve">   граждане СНГ</t>
  </si>
  <si>
    <t xml:space="preserve">   водопровод</t>
  </si>
  <si>
    <t xml:space="preserve">   работающие по всем видам образовательной деятельности</t>
  </si>
  <si>
    <t xml:space="preserve">   художественная</t>
  </si>
  <si>
    <t xml:space="preserve">   эколого-биологическая</t>
  </si>
  <si>
    <t xml:space="preserve">   туристско-краеведческая</t>
  </si>
  <si>
    <t xml:space="preserve">   техническая</t>
  </si>
  <si>
    <t xml:space="preserve">   спортивная</t>
  </si>
  <si>
    <t xml:space="preserve">   военно-патриотическая и спортивно-техническая</t>
  </si>
  <si>
    <t xml:space="preserve">   другие</t>
  </si>
  <si>
    <t>Индекс удовлетворенности населения качеством образования, которое предоставляют образовательные организации *</t>
  </si>
  <si>
    <t>Индекс удовлетворенности работодателей качеством подготовки в образовательных организациях профессионального образования *</t>
  </si>
  <si>
    <t>международное исследование PIRLS *</t>
  </si>
  <si>
    <t>математика (4 класс) *</t>
  </si>
  <si>
    <t>математика (8 класс) *</t>
  </si>
  <si>
    <t>естествознание (4 класс) *</t>
  </si>
  <si>
    <t>естествознание (8 класс) *</t>
  </si>
  <si>
    <t>читательская грамотность *</t>
  </si>
  <si>
    <t>математическая грамотность *</t>
  </si>
  <si>
    <t>естественнонаучная грамотность *</t>
  </si>
  <si>
    <t>Удельный вес численности студентов образовательных организаций высшего образования, использующих образовательный кредит для оплаты обучения, в общей численности обучающихся на платной основе **</t>
  </si>
  <si>
    <t>Удельный вес образовательных организаций, охваченных инструментами независимой системы оценки качества образования, в общем числе образовательных организаций *</t>
  </si>
  <si>
    <t>Удельный вес численности молодых людей в возрасте от 14 до 30 лет, участвующих в деятельности молодежных общественных объединений, в общей численности молодежи в возрасте от 14 до 30 лет * (**)</t>
  </si>
  <si>
    <t>Оценка удельного веса лиц, совмещающих учебу и работу, в общей численности студентов старших курсов образовательных организаций высшего образования *</t>
  </si>
  <si>
    <t>Удельный вес численности молодых людей в возрасте от 14 до 30 лет, вовлеченных в реализуемые федеральными органами исполнительной власти и органами исполнительной власти субъектов Российской Федерации проекты и программы в сфере поддержки талантливой молодежи, в общей численности молодежи в возрасте от 14 до 30 лет * (**)</t>
  </si>
  <si>
    <t>* - сбор данных осуществляется в целом по Российской Федерации без детализации по субъектам Российской Федерации;</t>
  </si>
  <si>
    <t>** - сбор данных начинается с 2015 года;</t>
  </si>
  <si>
    <t>*** - по разделу также осуществляется сбор данных в соответствии с показателями деятельности образовательной организации высшего образования, подлежащей самообследованию, утвержденными приказом Министерства образования и науки РФ от 10 декабря 2013 года № 1324 (зарегистрирован Министерством юстиции РФ от 28.01.2014, регистрационный № 31135);</t>
  </si>
  <si>
    <t>**** - сбор данных начинается с 2016 года;</t>
  </si>
  <si>
    <t>***** - в связи со спецификой форм федерального статистического наблюдения, показатель рассчитан по численности населения в возрасте 5-17 лет.</t>
  </si>
  <si>
    <t>1.5.3.</t>
  </si>
  <si>
    <t>Структура численности детей с ограниченными возможностями здоровья, обучающихся в группах компенсирующей, оздоровительной и комбинированной направленности дошкольных образовательных организаций (за исключением детей-инвалидов), по видам групп:</t>
  </si>
  <si>
    <t xml:space="preserve">     группы компенсирующей направленности, в том числе для воспитанников: &lt;****&gt;</t>
  </si>
  <si>
    <t xml:space="preserve">          с нарушениями слуха: глухие, слабослышащие, позднооглохшие; &lt;****&gt;</t>
  </si>
  <si>
    <t xml:space="preserve">          с тяжелыми нарушениями речи; &lt;****&gt;</t>
  </si>
  <si>
    <t xml:space="preserve">          с нарушениями зрения: слепые, слабовидящие; &lt;****&gt;</t>
  </si>
  <si>
    <t xml:space="preserve">          с умственной отсталостью (интеллектуальными нарушениями); &lt;****&gt;</t>
  </si>
  <si>
    <t xml:space="preserve">          с задержкой психического развития; &lt;****&gt;</t>
  </si>
  <si>
    <t xml:space="preserve">          с нарушениями опорно-двигательного аппарата; &lt;****&gt;</t>
  </si>
  <si>
    <t xml:space="preserve">          с расстройствами аутистического спектра; &lt;****&gt;</t>
  </si>
  <si>
    <t xml:space="preserve">          со сложными дефектами (множественными нарушениями); &lt;****&gt;</t>
  </si>
  <si>
    <t xml:space="preserve">          с другими ограниченными возможностями здоровья. &lt;****&gt;</t>
  </si>
  <si>
    <t xml:space="preserve">     группы оздоровительной направленности, в том числе для воспитанников: &lt;****&gt;</t>
  </si>
  <si>
    <t xml:space="preserve">          с туберкулезной интоксикацией; &lt;****&gt;</t>
  </si>
  <si>
    <t xml:space="preserve">          часто болеющих; &lt;****&gt;</t>
  </si>
  <si>
    <t xml:space="preserve">         других категорий, нуждающихся в длительном лечении и проведении специальных лечебно-оздоровительных мероприятий. &lt;****&gt;</t>
  </si>
  <si>
    <t xml:space="preserve">     группы комбинированной направленности. &lt;****&gt;</t>
  </si>
  <si>
    <t>1.5.4.</t>
  </si>
  <si>
    <t>Структура численности детей-инвалидов, обучающихся в группах компенсирующей, оздоровительной и комбинированной направленности дошкольных образовательных организаций, по видам групп:</t>
  </si>
  <si>
    <t>1.5.5.</t>
  </si>
  <si>
    <t>Удельный вес числа организаций, имеющих в своем составе лекотеку, службу ранней помощи, консультативный пункт, в общем числе дошкольных образовательных организаций. &lt;****&gt;</t>
  </si>
  <si>
    <t>2.5.3.</t>
  </si>
  <si>
    <t>Структура численности лиц с ограниченными возможностями здоровья, обучающихся в отдельных классах общеобразовательных организаций и в отдельных общеобразовательных организациях, осуществляющих обучение по адаптированным основным общеобразовательным программам (за исключением детей-инвалидов):</t>
  </si>
  <si>
    <t>2.5.4.</t>
  </si>
  <si>
    <t>Структура численности лиц с инвалидностью, обучающихся в отдельных классах общеобразовательных организаций и в отдельных общеобразовательных организациях, осуществляющих обучение по адаптированным основным общеобразовательным программам:</t>
  </si>
  <si>
    <t>2.5.5.</t>
  </si>
  <si>
    <t>Укомплектованность отдельных общеобразовательных организаций, осуществляющих обучение по адаптированным основным общеобразовательным программам педагогическими работниками:</t>
  </si>
  <si>
    <t xml:space="preserve">          всего; &lt;****&gt;</t>
  </si>
  <si>
    <t xml:space="preserve">          педагоги-психологи; &lt;****&gt;</t>
  </si>
  <si>
    <t xml:space="preserve">          учителя-логопеды; &lt;****&gt;</t>
  </si>
  <si>
    <t xml:space="preserve">          социальные педагоги; &lt;****&gt;</t>
  </si>
  <si>
    <t xml:space="preserve">          тьюторы. &lt;****&gt;</t>
  </si>
  <si>
    <t xml:space="preserve">          учителя-дефектологи; &lt;****&gt;</t>
  </si>
  <si>
    <t>5.2.2.</t>
  </si>
  <si>
    <t>5.2.3.</t>
  </si>
  <si>
    <t>Удельный вес численности детей с ограниченными возможностями здоровья в общей численности обучающихся в организациях, осуществляющих образовательную деятельность по дополнительным общеобразовательным программам (за исключением детей-инвалидов). &lt;****&gt;</t>
  </si>
  <si>
    <t>Удельный вес численности детей-инвалидов в общей численности обучающихся в организациях, осуществляющих образовательную деятельность по дополнительным общеобразовательным программам. &lt;****&gt;</t>
  </si>
  <si>
    <t>сбор с 2016 года</t>
  </si>
  <si>
    <t>Значение показателя за 2013 год</t>
  </si>
  <si>
    <t>Значение показателя за 2014 год</t>
  </si>
  <si>
    <t>Удельный вес численности лиц, достигших базового уровня образовательных достижений в международных сопоставительных исследованиях качества образования (изучение качества чтения и понимания текста (PIRLS), исследование качества математического и естественнонаучного общего образования (TIMSS), оценка образовательных достижений учащихся (PISA)), в общей численности российских учащихся общеобразовательных организаций:</t>
  </si>
  <si>
    <t>музыкальные, художественные, хореографические школы и школы искусств</t>
  </si>
  <si>
    <t>детские, юношеские спортивные школы</t>
  </si>
  <si>
    <t>образовательные организации системы образования</t>
  </si>
  <si>
    <t>-</t>
  </si>
  <si>
    <t xml:space="preserve">      негосударственные профессиональные образовательные организации</t>
  </si>
  <si>
    <t xml:space="preserve">      государственные профессиональные образовательные организации</t>
  </si>
  <si>
    <t xml:space="preserve">      организации высшего образования, имеющие в своем составе структурные подразделения, реализующие образовательные программы подготовки квалифицированных рабочих, служащих</t>
  </si>
  <si>
    <t xml:space="preserve">      профессиональные образовательные организации</t>
  </si>
  <si>
    <t xml:space="preserve">      государственные организации высшего образования, имеющие в своем составе структурные подразделения, реализующие образовательные программы подготовки специалистов среднего звена</t>
  </si>
  <si>
    <t xml:space="preserve">      негосударственные организации высшего образования, имеющие в своем составе структурные подразделения, реализующие образовательные программы подготовки специалистов среднего звена</t>
  </si>
  <si>
    <t>СПО-1 раздел 2.1.2, строка 01, графа 17</t>
  </si>
  <si>
    <t>СПО-1 раздел 2.1.2 строка 02, графа 17</t>
  </si>
  <si>
    <t>СПО-1 раздел 2.1.2, строка 03, графа 21</t>
  </si>
  <si>
    <t>СПО-1 раздел 2.1.2, строка 03 графа 17</t>
  </si>
  <si>
    <t>Пропущено дней по болезни одним ребенком в дошкольной образовательной организации в год</t>
  </si>
  <si>
    <t>Общий объем финансовых средств, поступивших в дошкольные образовательные организации, в расчете на одного воспитанника</t>
  </si>
  <si>
    <t>Удельный вес численности детей с ограниченными возможностями здоровья в общей численности воспитанников дошкольных образовательных организаций</t>
  </si>
  <si>
    <t>Площадь помещений, используемых непосредственно для нужд дошкольных образовательных организаций, в расчете на одного воспитанника</t>
  </si>
  <si>
    <t>Значение показателя за 2012 год</t>
  </si>
  <si>
    <t>Значение показателя за 2015 год</t>
  </si>
  <si>
    <t>Доля выпускников общеобразовательных организаций, успешно сдавших единый государственный экзамен (далее - ЕГЭ по русскому языку и математике, в общей численности выпускников общеобразовательных организаций, сдавших ЕГЭ по данным предметам &lt;*&gt;</t>
  </si>
  <si>
    <t>выпускники, успешно сдавших единый государственный экзамен</t>
  </si>
  <si>
    <t>общая численность выпускников общеобразовательных организаций, сдавших ЕГЭ по данным предметам</t>
  </si>
  <si>
    <t>по математике &lt;*&gt;</t>
  </si>
  <si>
    <t>по русскому языку &lt;*&gt;</t>
  </si>
  <si>
    <t>3.1.3.</t>
  </si>
  <si>
    <t>Число поданных заявлний о приеме на обучение по образовательным программам среднего профессионального образования за счет бюджетных ассигнований</t>
  </si>
  <si>
    <t>Численность бюджетных мест</t>
  </si>
  <si>
    <t>Число поданных заявлний о приеме на обучение по образовательным программам среднего профессионального образования за счет бюджетных ассигнований в расчете на 100 бюджетных мест &lt;****&gt;</t>
  </si>
  <si>
    <t>Удельный вес штатных преподавателей профессиональных образовательных организаций, желающих сменить работу, в общей численности штатных преподавателей профессиональных образовательных организаций &lt;*&gt;</t>
  </si>
  <si>
    <t>Распространенность дополнительной занятости преподавателей профессиональных образовательных организаций (удельный вес штатных преподавателей профессиональных образовательных организаций, имеющих дополнительную работу, в общей численности штатных преподавателей профессиональных образовательных организаций) &lt;*&gt;</t>
  </si>
  <si>
    <t>3.3.9.</t>
  </si>
  <si>
    <t>Удельный вес численности педагогических работников, освоивших дополнительные профессиональные программы в форме стажировки на предприятиях и (или) в организациях реального сектора экономики в течение последних 3-х лет, в общей численности педагогических работников образовательных организаций, реализующих образовательные программы среднего профессионального образования. &lt;****&gt;</t>
  </si>
  <si>
    <t>численность педагогических работников, освоивших дополнительные профессиональные программы в форме стажировки на предприятиях и (или) в организациях реального сектора экономики в течение последних 3-х лет</t>
  </si>
  <si>
    <t xml:space="preserve"> в общей численности педагогических работников образовательных организаций, реализующих образовательные программы среднего профессионального образования</t>
  </si>
  <si>
    <t>3.3.10.</t>
  </si>
  <si>
    <t>Удельный вес численности преподавателей и мастеров производственного обучения из числа работников реального сектора экономики, работающих на условиях внешнего совместительства, в общей численности преподавателей и мастеров производственного обучения образовательных организаций, реализующих образовательные программы среднего профессионального образования. &lt;****&gt;</t>
  </si>
  <si>
    <t>численность преподавателей и мастеров производственного обучения из числа работников реального сектора экономики, работающих на условиях внешнего совместительства</t>
  </si>
  <si>
    <t>общая численность преподавателей и мастеров производственного обучения образовательных организаций, реализующих образовательные программы среднего профессионального образования</t>
  </si>
  <si>
    <t>3.5.4.</t>
  </si>
  <si>
    <t>Численность студентов-инвалидов и студентов с ограниченными возможностями здоровья, обучающихся по образовательным программам среднего профессионального образования по формам обучения:</t>
  </si>
  <si>
    <t>очная форма обучения &lt;****&gt;</t>
  </si>
  <si>
    <t>очно-заочная форма обучения &lt;****&gt;</t>
  </si>
  <si>
    <t>заочная форма обучения &lt;****&gt;</t>
  </si>
  <si>
    <t>3.5.5.</t>
  </si>
  <si>
    <t>Удельный вес численности студентов-инвалидов и студентов с ограниченными возможностями здоровья, обучающихся по адаптированным образовательным программам, в общей численности студентов-инвалидов и студентов с ограниченными возможностями здоровья, обучающихся по образовательным программам среднего профессионального образования: &lt;****&gt;</t>
  </si>
  <si>
    <t>общая численность студентов-инвалидов и студентов с ограниченными возможностями здоровья, обучающихся по образовательным программам подготовки квалифицированных рабочих, служащих</t>
  </si>
  <si>
    <t>численность студентов-инвалидов и студентов с ограниченными возможностями здоровья, обучающихся по адаптированным образовательным программам подготовки квалифицированных рабочих, служащих</t>
  </si>
  <si>
    <t>численность студентов-инвалидов и студентов с ограниченными возможностями здоровья, обучающихся по адаптированным образовательным программам подготовки специалистов среднего звена</t>
  </si>
  <si>
    <t>общая численность студентов-инвалидов и студентов с ограниченными возможностями здоровья, обучающихся по образовательным программам подготовки специалистов среднего звена</t>
  </si>
  <si>
    <t>3.6.3.</t>
  </si>
  <si>
    <t>Удельный вес численности выпускников, завершивших обучение по образовательным программам среднего профессионального образования, трудоустроившихся в течение одного года после завершения обучения, в общей численности выпускников, завершивших обучение по образовательным программам среднего профессионального образования:</t>
  </si>
  <si>
    <t>программы подготовки квалифицированных рабочих, служащих &lt;*&gt;</t>
  </si>
  <si>
    <t>численность выпускников, завершивших обучение по образовательным программам подготовки квалифицированных рабочих, служащи, трудоустроившихся в течение одного года после завершения обучения</t>
  </si>
  <si>
    <t>общая численность выпускников, завершивших обучение по образовательным программам подготовки квалифицированных рабочих, служащи</t>
  </si>
  <si>
    <t>программы подготовки специалистов среднего звена &lt;*&gt;</t>
  </si>
  <si>
    <t>численность выпускников, завершивших обучение по образовательным программам подготовки специалистов среднего звена, трудоустроившихся в течение одного года после завершения обучения</t>
  </si>
  <si>
    <t>общая численность выпускников, завершивших обучение по образовательным программам подготовки специалистов среднего звена</t>
  </si>
  <si>
    <t>3.9.2.</t>
  </si>
  <si>
    <t>Удельный вес профессиональных образовательных организаций, создавших кафедры и иные структурные подразделения, обеспечивающие практическую подготовку студентов, обучающихся по образовательным программам среднего профессионального образования, на базе организаций реального сектора экономики, осуществляющих деятельность по профилю соответствующей образовательной программы, в общем количестве профессиональных образовательных организаций. &lt;****&gt;</t>
  </si>
  <si>
    <t>профессиональные образовательные организаций, создавших кафедры и иные структурные подразделения, обеспечивающие практическую подготовку студентов, обучающихся по образовательным программам среднего профессионального образования, на базе организаций реального сектора экономики, осуществляющих деятельность по профилю соответствующей образовательной программы</t>
  </si>
  <si>
    <t>количество профессиональных образовательных организаций</t>
  </si>
  <si>
    <t xml:space="preserve">Удельный вес численности лиц, прошедших обучение по программам повышения квалификации, профессиональной переподготовки в образовательных организациях, реализующих дополнительные профессиональные программы, в общей численности занятых в организациях реального сектора экономики
</t>
  </si>
  <si>
    <t>СВ-1 раздел 8, строка 66, графа 3</t>
  </si>
  <si>
    <t>1-ДО (сводная) раздел 8, строка 03, графа 3</t>
  </si>
  <si>
    <t>1-ДО (сводная) раздел 3, строка 01, графа 3</t>
  </si>
  <si>
    <t>1-ДО (сводная) раздел 8, строка 36, графа 3</t>
  </si>
  <si>
    <t>1-ДО (сводная) раздел 8, строка 37, графа 3</t>
  </si>
  <si>
    <t>1- ДО (сводная) раздел 8, строка 38, графа 3</t>
  </si>
  <si>
    <t>1-ДО (сводная) раздел 8, строка 01, графа 3</t>
  </si>
  <si>
    <t>1-ДО (сводная) раздел 8, строка 51, графа 3</t>
  </si>
  <si>
    <t>1-ДО (сводная) раздел 8, строка 66, графа 3</t>
  </si>
  <si>
    <t>1-ДО (сводная) раздел 1, строка 01, графа 3 – предыдущий год</t>
  </si>
  <si>
    <t>1-ДО (сводная) раздел 1, строка 01, графа 4 – отчетный год</t>
  </si>
  <si>
    <t>1-ДО (сводная) раздел 1, строка 01, графа 5 – отчетный год</t>
  </si>
  <si>
    <t>1-ДО (сводная) раздел 9, строка 01, графа 3</t>
  </si>
  <si>
    <t>1-ДО (сводная) раздел 9, строка 03, графа 3</t>
  </si>
  <si>
    <t>1-ДО (сводная) раздел 1, строка 01, графа 16</t>
  </si>
  <si>
    <t>1-ДО (сводная) раздел 1, строка 01, графа 3</t>
  </si>
  <si>
    <t>1-ДО (сводная) раздел 4, строка 01, графа 5</t>
  </si>
  <si>
    <t>1-ДО (сводная) раздел 8, строка 74, графа 3</t>
  </si>
  <si>
    <t>1-ДО (сводная) раздел 8, строка 73, графа 3</t>
  </si>
  <si>
    <t>1-ДО (сводная) раздел 8, строка 31, графа 3</t>
  </si>
  <si>
    <t>1-ДО (сводная) раздел 8, строка 28, графа 3</t>
  </si>
  <si>
    <t>85-К раздел 2.2, строка 01, графы 9, 10, 11</t>
  </si>
  <si>
    <t>Удельный вес численности лиц, прошедших обучение по программам повышения квалификации, профессиональной переподготовки в образовательных организациях, реализующих дополнительные профессиональные программы, в общей численности занятых в организациях реального сектора экономики</t>
  </si>
  <si>
    <t>Значение показателя за 2016 год</t>
  </si>
  <si>
    <t>Значение показателя за 2017 год</t>
  </si>
  <si>
    <t>2.1.4.</t>
  </si>
  <si>
    <t>Наполняемось классов по уровням общего образования</t>
  </si>
  <si>
    <t>основное общее образование (5-9 классы)</t>
  </si>
  <si>
    <t>начальное общее образование (1-4 классы)</t>
  </si>
  <si>
    <t>среднее общее образование (10-11(12) классы)</t>
  </si>
  <si>
    <t>ОО-1 р.2.12.1</t>
  </si>
  <si>
    <t>Удельный вес численности обучающихся в классах (группах) профильного обучения к общей численности обучающихся в 10-11 (12) классах по образовательным программа среднего общего образования.</t>
  </si>
  <si>
    <t>2.2.3.</t>
  </si>
  <si>
    <t>численность учащихся  обучающихся по образовательным программам  10 - 11 (12) классах</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</si>
  <si>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изучением профильного обучения в 10-11 (12) классах</t>
  </si>
  <si>
    <t>Удельный вес численности обучающихся в классах, продолживших  обучение  по образовательным программам среднего общего образования, к общей численности обучающихся, получивших аттестат об основном общем образовании по итогам учебного года, предшесттующего отчетному</t>
  </si>
  <si>
    <t>2.1.6.</t>
  </si>
  <si>
    <t>Удельный вес численности обучающихся, охваченных подвозом, к общей численности обучающихся, нуждающихся в подвозе в образовательные организации</t>
  </si>
  <si>
    <t>%</t>
  </si>
  <si>
    <t>2.3.4.</t>
  </si>
  <si>
    <t>Удельный все численности педагогических работников к общей численности(без внешних совместителей) организаций, осуществляющих образовательную деятельность по образовательным программам начального общего, основного общего, среднего общего образования</t>
  </si>
  <si>
    <t>Общая численность работников(без внешних совместителей) организаций, осуществляющих образовательную деятельность по образовательным программам начального общего, основного общего, среднего общего образования</t>
  </si>
  <si>
    <t>2.3.5.</t>
  </si>
  <si>
    <t>Удельный все числа организаций, имеющих в составе педагогических работников социальных педагогов, педагогов - психологов, учителей-логопедов, в ощем числе организаций, осуществляющих образовательную деятельнось по образовательным программам начального общего, основного общго, среднего общего образования:</t>
  </si>
  <si>
    <t>социальных педагогов:</t>
  </si>
  <si>
    <t>ВСЕГО;</t>
  </si>
  <si>
    <t>из них в штате;</t>
  </si>
  <si>
    <t>педагогов - психологов:</t>
  </si>
  <si>
    <t>учителей - логопедов:</t>
  </si>
  <si>
    <t>2.4.5.</t>
  </si>
  <si>
    <t>Удельный вес числа организаций, осуществляющих образовательную деятельность по образовательным программам начального общего, основного общего, среднего общего, использующих электронный дневник</t>
  </si>
  <si>
    <t>2.1.5.</t>
  </si>
  <si>
    <t>Структура численности обучающихся  по адаптированным образовательным программам начального общего, основного общего, среднего общего образования по видам  программам:</t>
  </si>
  <si>
    <t>для глухих; &lt;****&gt;</t>
  </si>
  <si>
    <t>для слабослышащие, позднооглохшие; &lt;****&gt;</t>
  </si>
  <si>
    <t>для слепых, &lt;****&gt;</t>
  </si>
  <si>
    <t>для слабовидящих; &lt;****&gt;</t>
  </si>
  <si>
    <t>с тяжелыми нарушениями речи; &lt;****&gt;</t>
  </si>
  <si>
    <t>с нарушениями опорно-двигательного аппарата; &lt;****&gt;</t>
  </si>
  <si>
    <t>с задержкой психического развития; &lt;****&gt;</t>
  </si>
  <si>
    <t>с расстройствами аутистического спектра; &lt;****&gt;</t>
  </si>
  <si>
    <t>с умственной отсталостью (интеллектуальными нарушениями); &lt;****&gt;</t>
  </si>
  <si>
    <t>2.5.6.</t>
  </si>
  <si>
    <t>Численность обучающихся по адаптированным образовательным программам начального общего, осного общего, среднего общего в расчете на 1 работника</t>
  </si>
  <si>
    <t>учителя-дефектолога; &lt;****&gt;</t>
  </si>
  <si>
    <t>учителя-логопеда; &lt;****&gt;</t>
  </si>
  <si>
    <t>педагоги-психологи; &lt;****&gt;</t>
  </si>
  <si>
    <t>тьюторы. &lt;****&gt;</t>
  </si>
  <si>
    <t>Удельный вес численности обучающихся, получивших на государственной итогой аттестции неудовлетворительные результаты, в общей численности обучающихся, участвовавших в государственной итогой аттестации  по образовательным программам:</t>
  </si>
  <si>
    <t>основного общего образования &lt;*&gt;</t>
  </si>
  <si>
    <t>среднего общего образования &lt;*&gt;</t>
  </si>
  <si>
    <t>Удельный вес численности лиц, обеспеченных горячим питанием, в общей численности обучающихся организаций, осуществляющих образовательную деятельность по образовательным программа начального общего, основного общего, среднего общего образования</t>
  </si>
  <si>
    <t xml:space="preserve">76-РИК </t>
  </si>
  <si>
    <t>СВ-1</t>
  </si>
  <si>
    <t>Д-4</t>
  </si>
  <si>
    <t xml:space="preserve">76-РИК  </t>
  </si>
  <si>
    <t>76 - РИК</t>
  </si>
  <si>
    <t>СВ-1 р</t>
  </si>
  <si>
    <t xml:space="preserve">СВ-1 </t>
  </si>
  <si>
    <t xml:space="preserve">СВ-1 раздел 1, </t>
  </si>
  <si>
    <t xml:space="preserve">ОШ-2 </t>
  </si>
  <si>
    <t xml:space="preserve">СВ-1, </t>
  </si>
  <si>
    <t>76-РИК</t>
  </si>
  <si>
    <t xml:space="preserve"> численность обучающихся, охваченных подвозом, </t>
  </si>
  <si>
    <t xml:space="preserve">Д-8, </t>
  </si>
  <si>
    <t>83-РИК</t>
  </si>
  <si>
    <t xml:space="preserve">83-РИК </t>
  </si>
  <si>
    <t>Д-4,</t>
  </si>
  <si>
    <t xml:space="preserve">Д-4, </t>
  </si>
  <si>
    <t xml:space="preserve">Д-4 </t>
  </si>
  <si>
    <t>76-РИК раздел 1.2,</t>
  </si>
  <si>
    <t xml:space="preserve">76-РИК раздел 1.2, </t>
  </si>
  <si>
    <t xml:space="preserve">Доступность дошкольного образования (отношение численности детей  определенной возрастной группы посещающих в текущем году организации осуществляющие образовательной деятельность по образовательным программ дошкольного образования, присмотр и уход за детьми, к сумме указанной численности и численности детей соответстующей возрастной группы, находящихся в очереди на получение в текущем году в организациях,осуществляющих образовательную деятельность по образовательным програаммам дошкольного образования, присмотр и уход за детьми): </t>
  </si>
  <si>
    <t>численность воспитанников в возрасте 2 месяцев до 7 лет  дошкольных образовательных организаций</t>
  </si>
  <si>
    <t>численность воспитанников в возрасте 2 месяцев до 3 лет  дошкольных образовательных организаций</t>
  </si>
  <si>
    <t>численность воспитанников в возрасте с 3 лет до 7 лет  дошкольных образовательных организаций</t>
  </si>
  <si>
    <t>Охват детей дошкольными образовательными организациями (отношение численности детей, посещающих дошкольные образовательные организации, к численности детей в возрасте от 2 месяцев до 3 лет включительно, скорректированной на численность детей соответствующих возрастов, обучающихся в общеобразовательных организациях)</t>
  </si>
  <si>
    <t>Охват детей дошкольными образовательными организациями (отношение численности детей, посещающих дошкольные образовательные организации, к численности детей в возрасте от 3 лет до 7 лет включительно, скорректированной на численность детей соответствующих возрастов, обучающихся в общеобразовательных организациях)</t>
  </si>
  <si>
    <t>Удельный вес численности детей, посещающих частные организации, осуществляющие образовательную деятельность  по образовательным программ дошкольного образования, присмотр и уход за детьми, в общей численности детей, посещающих организации, реализующие образовательные программы дошкольного образования, присмотр и уход за детьми</t>
  </si>
  <si>
    <t>1.1.4.</t>
  </si>
  <si>
    <t>Наполняемость групп в организациях осуществляющих образовательную деятельность  по образовательным программам дошкольного образования, присмотр и уход за детьми &lt;***&gt;:</t>
  </si>
  <si>
    <t>группы компенсирующей направленности;</t>
  </si>
  <si>
    <t>группы общеразвивающей направленности;</t>
  </si>
  <si>
    <t>группы комбинированной направленности;</t>
  </si>
  <si>
    <t>семейные дошкольные группы</t>
  </si>
  <si>
    <t>1.1.5.</t>
  </si>
  <si>
    <t>Наполняемость групп, функционирующих в режиме кратковременного и круглосуточного пребывания в организациях осуществляющих образовательную деятельность  по образовательным программам дошкольного образования, присмотр и уход за детьми &lt;***&gt;:</t>
  </si>
  <si>
    <t>в режиме круглосуточного пребывавания;</t>
  </si>
  <si>
    <t>в режиме кратковременного пребывания;</t>
  </si>
  <si>
    <t>Удельный вес численности детей, посещающих группы различной направленности, в общей численности детей, посещающих организации, частные организации, осуществляющие образовательную деятельность  по образовательным программ дошкольного образования, присмотр и уход за детьми, в общей численности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&lt;***&gt;:</t>
  </si>
  <si>
    <t>группы оздоровительной направленности;</t>
  </si>
  <si>
    <t>группы по присмотру и уходу за детьми</t>
  </si>
  <si>
    <t>1.3.3.</t>
  </si>
  <si>
    <t>Состав педагогических работников (без внешних совместителей и работавших по договорам гражданско-правового характера) организаций, осуществляющих образовательную деятельность по образовательным программам дошкольного образования, присмотр и уход за детьи, по должностям:</t>
  </si>
  <si>
    <t>воспитатели;</t>
  </si>
  <si>
    <t>старшие воспитатели;</t>
  </si>
  <si>
    <t>музыкальные руководители;</t>
  </si>
  <si>
    <t>инструкторы по физической культуре;</t>
  </si>
  <si>
    <t>учителя-логопеды;</t>
  </si>
  <si>
    <t>учителя- дефектологи;</t>
  </si>
  <si>
    <t>педагоги-психологи;</t>
  </si>
  <si>
    <t>социальные педагоги;</t>
  </si>
  <si>
    <t>педагоги-организаторы;</t>
  </si>
  <si>
    <t>педагоги дополнительного образования</t>
  </si>
  <si>
    <t>другие педагогические работники</t>
  </si>
  <si>
    <t>Структура численности детей с ограниченными возможностями здоровья, обучающихся по образовательным программам дошкольного образования  в группах компенсирующей, оздоровительной и комбинированной направленности по  группам &lt;****&gt;:</t>
  </si>
  <si>
    <t>компенсирующей напрвленности, в том числе для воспитанников:</t>
  </si>
  <si>
    <t>с нарушениями слуха;</t>
  </si>
  <si>
    <t>с нарушениями речи;</t>
  </si>
  <si>
    <t>с нарушением зрения;</t>
  </si>
  <si>
    <t xml:space="preserve">с задержкой психического развития; </t>
  </si>
  <si>
    <t>с умственной отсталостью (интеллектуальными нарушениями);</t>
  </si>
  <si>
    <t xml:space="preserve">с нарушениями опорно-двигательного аппарата; </t>
  </si>
  <si>
    <t>со сложными дефектами (множественными нарушениями);</t>
  </si>
  <si>
    <t>с другими ограниченными возможностями здоровья.</t>
  </si>
  <si>
    <t>оздоровительной направленности;</t>
  </si>
  <si>
    <t>комбинированной направленности.</t>
  </si>
  <si>
    <t>Структура численности детей детей-инвалидов, обучающихся по образовательным программам дошкольного образования  в группах компенсирующей, оздоровительной и комбинированной направленности по  группам &lt;****&gt;:</t>
  </si>
  <si>
    <t>Удельный вес численности детей, охваченных летними оздоровительными мероприятиями, в общей численности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t>
  </si>
  <si>
    <t>Темп роста числа организаций, осуществляющих образовательную деятельность по образовательным программам дошкольного образования присмотр и уход за детьми:</t>
  </si>
  <si>
    <t>дошкольные образовательные организации</t>
  </si>
  <si>
    <t>обособленные подразделения (филиалы) дошкольных образовательных организаций;</t>
  </si>
  <si>
    <t>обособленные подразделения (филиалы) общеообразовательных организаций;</t>
  </si>
  <si>
    <t>общеобразовательные организации, имеющие подразделения (группы), которые осуществляют образовательную деятельность по образовательным программам дошкольного образования, присмотр и уход за детьми;</t>
  </si>
  <si>
    <t>85-к раздел 4.2, строка 01</t>
  </si>
  <si>
    <t>всего  (в возрасте от 2 месяцев до 7 лет);</t>
  </si>
  <si>
    <t>в возрасте от 2 месяцев до 3 лет;</t>
  </si>
  <si>
    <t>в возрасте от 3 лет месяцев до 7 лет;</t>
  </si>
  <si>
    <t>Охват детей дошкольными образовательными организациями (отношение численности детей, посещающих дошкольные образовательные организации, к численности детей в возрасте от 2 месяцев до 7 лет включительно, скорректированной на численность детей соответствующих возрастов, обучающихся в общеобразовательных организациях) ВСЕГО:</t>
  </si>
  <si>
    <t>с нарушениями зрения: слепые, слабовидящие; &lt;****&gt;</t>
  </si>
  <si>
    <t>со сложными дефектами (множественными нарушениями); &lt;****&gt;</t>
  </si>
  <si>
    <t>с другими ограниченными возможностями здоровья. &lt;****&gt;</t>
  </si>
  <si>
    <t>с нарушениями слуха: глухие, слабослышащие, позднооглохшие; &lt;****&gt;</t>
  </si>
  <si>
    <t>численность детей в возрасте 2 месяцев -3 лет (число полных лет), стоящих на учете для определения в дошкольные образовательные организации</t>
  </si>
  <si>
    <t xml:space="preserve">78-РИК </t>
  </si>
  <si>
    <t xml:space="preserve">Охват детей дополнительными общеобразовательными программами (отношение численности обучающихся по дополнительным общеобразовательным программам к численности детей в возрасте 5 - 18 лет) </t>
  </si>
  <si>
    <t>5.1.2.</t>
  </si>
  <si>
    <t>техническое;</t>
  </si>
  <si>
    <t>естественнонаучное;</t>
  </si>
  <si>
    <t>туристско-краеведческое;</t>
  </si>
  <si>
    <t>социально-педагогическое;</t>
  </si>
  <si>
    <t>в области искусств:</t>
  </si>
  <si>
    <t>по общеразвивающим программам;</t>
  </si>
  <si>
    <t>по предпрофессиональным программам.</t>
  </si>
  <si>
    <t>в области физической культуры и спорта:</t>
  </si>
  <si>
    <t>5.1.3.</t>
  </si>
  <si>
    <t>Удельный вес численности детей, обучающихся по дополнительным общеобразовательным программам по договорам об оказании платных образовательных услуг, в общей численности детей, обучающихся по дополнительным общеобразовательным программам.</t>
  </si>
  <si>
    <t>Удельный вес численности детей-инвалидов в общей численности обучающихся в организациях дополлнительного образования</t>
  </si>
  <si>
    <t>Материально-техническое и информационное обеспечение организаций, осуществляющих образовательную деятельность в части реализации дополнительных общеобразовательных программ</t>
  </si>
  <si>
    <t>Удельный вес числа организаций, имеющих следующие виды благоустройства, в общем числе организаций дополнительного образования:</t>
  </si>
  <si>
    <t>пожарную сигнализцию</t>
  </si>
  <si>
    <t>дымовые извещатели</t>
  </si>
  <si>
    <t>пожарные краны и рукава</t>
  </si>
  <si>
    <t>системы видеонаблюдения</t>
  </si>
  <si>
    <t>"тревожную кнопку"</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</si>
  <si>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системы образования в отчетном году)</t>
  </si>
  <si>
    <t>Результаты занятий детей в организациях дополнительного образования ( удельный вес родителей детей, обучающихся в образовательных организациях дополнительного образования, отметивших различные результаты обучения их детей, в общей численности родителей детей, обучающихся в образовательных организациях дополнительного образования):</t>
  </si>
  <si>
    <t>5.3.2.</t>
  </si>
  <si>
    <t>всего;</t>
  </si>
  <si>
    <t>внешние совместители</t>
  </si>
  <si>
    <t>5.3.4.</t>
  </si>
  <si>
    <t>Удельный вес численности педагогических работников в общей численности работников организаций дополнительного образования</t>
  </si>
  <si>
    <t>Удельный вес численности педагогических работников в возврасте моложе 35 в общей численности педагогических работников без внешних совместителей и работающих по договорам ГПХ организаций дополнительного образования</t>
  </si>
  <si>
    <t>Значение показателя за 2018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</si>
</sst>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1" x14ac:knownFonts="1">
    <font>
      <sz val="11"/>
      <color theme="1"/>
      <name val="Calibri"/>
      <family val="2"/>
      <charset val="204"/>
      <scheme val="minor"/>
    </font>
    <font>
      <b/>
      <sz val="11"/>
      <color theme="1"/>
      <name val="Calibri"/>
      <family val="2"/>
      <charset val="204"/>
      <scheme val="minor"/>
    </font>
    <font>
      <b/>
      <sz val="14"/>
      <color theme="1"/>
      <name val="Calibri"/>
      <family val="2"/>
      <charset val="204"/>
      <scheme val="minor"/>
    </font>
    <font>
      <sz val="11"/>
      <color rgb="FFFF0000"/>
      <name val="Calibri"/>
      <family val="2"/>
      <charset val="204"/>
      <scheme val="minor"/>
    </font>
    <font>
      <sz val="11"/>
      <name val="Calibri"/>
      <family val="2"/>
      <charset val="204"/>
      <scheme val="minor"/>
    </font>
    <font>
      <b/>
      <sz val="11"/>
      <color rgb="FFFF0000"/>
      <name val="Calibri"/>
      <family val="2"/>
      <charset val="204"/>
      <scheme val="minor"/>
    </font>
    <font>
      <sz val="10"/>
      <name val="Arial Cyr"/>
      <charset val="204"/>
    </font>
    <font>
      <b/>
      <sz val="11"/>
      <name val="Calibri"/>
      <family val="2"/>
      <charset val="204"/>
      <scheme val="minor"/>
    </font>
    <font>
      <sz val="10"/>
      <name val="Times New Roman"/>
      <family val="1"/>
      <charset val="204"/>
    </font>
    <font>
      <sz val="10"/>
      <name val="Times New Roman"/>
      <family val="1"/>
      <charset val="204"/>
    </font>
    <font>
      <b/>
      <sz val="14"/>
      <color theme="1"/>
      <name val="Times New Roman"/>
      <family val="1"/>
      <charset val="204"/>
    </font>
    <font>
      <sz val="11"/>
      <color theme="1"/>
      <name val="Times New Roman"/>
      <family val="1"/>
      <charset val="204"/>
    </font>
    <font>
      <b/>
      <sz val="11"/>
      <color theme="1"/>
      <name val="Times New Roman"/>
      <family val="1"/>
      <charset val="204"/>
    </font>
    <font>
      <i/>
      <sz val="11"/>
      <color theme="1"/>
      <name val="Times New Roman"/>
      <family val="1"/>
      <charset val="204"/>
    </font>
    <font>
      <sz val="11"/>
      <color rgb="FFFF0000"/>
      <name val="Times New Roman"/>
      <family val="1"/>
      <charset val="204"/>
    </font>
    <font>
      <sz val="11"/>
      <name val="Times New Roman"/>
      <family val="1"/>
      <charset val="204"/>
    </font>
    <font>
      <b/>
      <sz val="11"/>
      <name val="Times New Roman"/>
      <family val="1"/>
      <charset val="204"/>
    </font>
    <font>
      <sz val="11"/>
      <color rgb="FF00B050"/>
      <name val="Calibri"/>
      <family val="2"/>
      <charset val="204"/>
      <scheme val="minor"/>
    </font>
    <font>
      <b/>
      <sz val="11"/>
      <color rgb="FF00B050"/>
      <name val="Calibri"/>
      <family val="2"/>
      <charset val="204"/>
      <scheme val="minor"/>
    </font>
    <font>
      <b/>
      <sz val="14"/>
      <name val="Times New Roman"/>
      <family val="1"/>
      <charset val="204"/>
    </font>
    <font>
      <i/>
      <sz val="1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s>
  <cellStyleXfs count="4">
    <xf numFmtId="0" fontId="0" fillId="0" borderId="0"/>
    <xf numFmtId="0" fontId="6" fillId="0" borderId="0"/>
    <xf numFmtId="0" fontId="8" fillId="0" borderId="0"/>
    <xf numFmtId="0" fontId="9" fillId="0" borderId="0"/>
  </cellStyleXfs>
  <cellXfs count="454">
    <xf numFmtId="0" fontId="0" fillId="0" borderId="0" xfId="0"/>
    <xf numFmtId="0" fontId="1" fillId="0" borderId="0" xfId="0" applyFont="1" applyAlignment="1">
      <alignment horizontal="center"/>
    </xf>
    <xf numFmtId="0" fontId="1" fillId="0" borderId="0" xfId="0" applyFont="1" applyAlignment="1">
      <alignment horizontal="center" vertical="center" wrapText="1"/>
    </xf>
    <xf numFmtId="0" fontId="0" fillId="0" borderId="0" xfId="0" applyAlignment="1">
      <alignment horizontal="center"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top" wrapText="1"/>
    </xf>
    <xf numFmtId="0" fontId="0" fillId="0" borderId="1" xfId="0" applyBorder="1"/>
    <xf numFmtId="164" fontId="0" fillId="0" borderId="1" xfId="0" applyNumberFormat="1" applyBorder="1" applyAlignment="1">
      <alignment horizontal="center" vertical="top" wrapText="1"/>
    </xf>
    <xf numFmtId="0" fontId="1" fillId="0" borderId="1" xfId="0" applyFont="1" applyBorder="1" applyAlignment="1">
      <alignment horizontal="center" vertical="top" wrapText="1"/>
    </xf>
    <xf numFmtId="1" fontId="0" fillId="0" borderId="1" xfId="0" applyNumberFormat="1" applyBorder="1" applyAlignment="1">
      <alignment horizontal="center" vertical="top" wrapText="1"/>
    </xf>
    <xf numFmtId="0" fontId="0" fillId="0" borderId="1" xfId="0" applyFill="1" applyBorder="1" applyAlignment="1">
      <alignment horizontal="center" vertical="top" wrapText="1"/>
    </xf>
    <xf numFmtId="0" fontId="2" fillId="0" borderId="0" xfId="0" applyFont="1" applyAlignment="1"/>
    <xf numFmtId="164" fontId="0" fillId="0" borderId="1" xfId="0" applyNumberFormat="1" applyBorder="1" applyAlignment="1" applyProtection="1">
      <alignment horizontal="center" vertical="top" wrapText="1"/>
      <protection hidden="1"/>
    </xf>
    <xf numFmtId="0" fontId="2" fillId="0" borderId="0" xfId="0" applyFont="1" applyAlignment="1">
      <alignment horizontal="center"/>
    </xf>
    <xf numFmtId="0" fontId="0" fillId="2" borderId="1" xfId="0" applyFill="1" applyBorder="1" applyAlignment="1">
      <alignment vertical="top" wrapText="1"/>
    </xf>
    <xf numFmtId="0" fontId="1" fillId="0" borderId="1" xfId="0" applyFont="1" applyFill="1" applyBorder="1" applyAlignment="1">
      <alignment vertical="top" wrapText="1"/>
    </xf>
    <xf numFmtId="0" fontId="0" fillId="2" borderId="3" xfId="0" applyFill="1" applyBorder="1" applyAlignment="1">
      <alignment horizontal="left" vertical="top" wrapText="1"/>
    </xf>
    <xf numFmtId="0" fontId="0" fillId="0" borderId="3" xfId="0" applyBorder="1" applyAlignment="1">
      <alignment horizontal="center" vertical="top" wrapText="1"/>
    </xf>
    <xf numFmtId="1" fontId="0" fillId="0" borderId="0" xfId="0" applyNumberFormat="1"/>
    <xf numFmtId="0" fontId="0" fillId="0" borderId="1" xfId="0" applyFill="1" applyBorder="1" applyAlignment="1">
      <alignment vertical="top" wrapText="1"/>
    </xf>
    <xf numFmtId="0" fontId="0" fillId="0" borderId="3" xfId="0" applyFill="1" applyBorder="1" applyAlignment="1">
      <alignment horizontal="left" vertical="top" wrapText="1"/>
    </xf>
    <xf numFmtId="0" fontId="0" fillId="0" borderId="2" xfId="0" applyBorder="1" applyAlignment="1">
      <alignment horizontal="center" vertical="top" wrapText="1"/>
    </xf>
    <xf numFmtId="0" fontId="2" fillId="0" borderId="0" xfId="0" applyFont="1" applyAlignment="1">
      <alignment horizontal="center"/>
    </xf>
    <xf numFmtId="0" fontId="0" fillId="0" borderId="3"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3" xfId="0" applyFill="1" applyBorder="1" applyAlignment="1">
      <alignment horizontal="center" vertical="top" wrapText="1"/>
    </xf>
    <xf numFmtId="0" fontId="0" fillId="0" borderId="1" xfId="0" applyFill="1" applyBorder="1" applyAlignment="1">
      <alignment horizontal="left" vertical="top" wrapText="1"/>
    </xf>
    <xf numFmtId="0" fontId="1" fillId="0" borderId="3" xfId="0" applyFont="1" applyBorder="1" applyAlignment="1">
      <alignment horizontal="center" vertical="top" wrapText="1"/>
    </xf>
    <xf numFmtId="0" fontId="0" fillId="0" borderId="3" xfId="0" applyBorder="1"/>
    <xf numFmtId="0" fontId="0" fillId="0" borderId="1" xfId="0" applyFont="1" applyFill="1" applyBorder="1" applyAlignment="1">
      <alignment vertical="top" wrapText="1"/>
    </xf>
    <xf numFmtId="0" fontId="1" fillId="0" borderId="1" xfId="0" applyFont="1" applyBorder="1" applyAlignment="1">
      <alignment horizontal="justify" vertical="top" wrapText="1"/>
    </xf>
    <xf numFmtId="0" fontId="0" fillId="0" borderId="1" xfId="0" applyBorder="1" applyAlignment="1">
      <alignment horizontal="justify" vertical="top" wrapText="1"/>
    </xf>
    <xf numFmtId="3" fontId="0" fillId="0" borderId="1" xfId="0" applyNumberFormat="1" applyBorder="1" applyAlignment="1">
      <alignment horizontal="center" vertical="top" wrapText="1"/>
    </xf>
    <xf numFmtId="0" fontId="3" fillId="0" borderId="1" xfId="0" applyFont="1" applyBorder="1" applyAlignment="1">
      <alignment horizontal="center" vertical="top" wrapText="1"/>
    </xf>
    <xf numFmtId="1" fontId="3" fillId="0" borderId="1" xfId="0" applyNumberFormat="1" applyFont="1" applyBorder="1" applyAlignment="1">
      <alignment horizontal="center" vertical="top" wrapText="1"/>
    </xf>
    <xf numFmtId="2" fontId="0" fillId="0" borderId="1" xfId="0" applyNumberFormat="1" applyBorder="1" applyAlignment="1">
      <alignment horizontal="center" vertical="top" wrapText="1"/>
    </xf>
    <xf numFmtId="164" fontId="3" fillId="0" borderId="1" xfId="0" applyNumberFormat="1" applyFont="1" applyBorder="1" applyAlignment="1">
      <alignment horizontal="center" vertical="top" wrapText="1"/>
    </xf>
    <xf numFmtId="0" fontId="0" fillId="3" borderId="1" xfId="0" applyFill="1" applyBorder="1" applyAlignment="1">
      <alignment horizontal="center" vertical="top" wrapText="1"/>
    </xf>
    <xf numFmtId="0" fontId="0" fillId="3" borderId="1" xfId="0" applyFill="1" applyBorder="1" applyAlignment="1">
      <alignment vertical="top" wrapText="1"/>
    </xf>
    <xf numFmtId="0" fontId="0" fillId="3" borderId="1" xfId="0" applyFill="1" applyBorder="1"/>
    <xf numFmtId="2" fontId="0" fillId="3" borderId="1" xfId="0" applyNumberFormat="1" applyFill="1" applyBorder="1" applyAlignment="1">
      <alignment horizontal="center" vertical="top" wrapText="1"/>
    </xf>
    <xf numFmtId="0" fontId="0" fillId="3" borderId="1" xfId="0" applyFill="1" applyBorder="1" applyAlignment="1">
      <alignment horizontal="justify" vertical="top" wrapText="1"/>
    </xf>
    <xf numFmtId="0" fontId="1" fillId="3" borderId="1" xfId="0" applyFont="1" applyFill="1" applyBorder="1" applyAlignment="1">
      <alignment horizontal="center" vertical="top" wrapText="1"/>
    </xf>
    <xf numFmtId="0" fontId="1" fillId="3" borderId="1" xfId="0" applyFont="1" applyFill="1" applyBorder="1" applyAlignment="1">
      <alignment vertical="top" wrapText="1"/>
    </xf>
    <xf numFmtId="1" fontId="0" fillId="3" borderId="1" xfId="0" applyNumberFormat="1" applyFill="1" applyBorder="1" applyAlignment="1">
      <alignment horizontal="center" vertical="top" wrapText="1"/>
    </xf>
    <xf numFmtId="164" fontId="0" fillId="3" borderId="1" xfId="0" applyNumberFormat="1" applyFill="1" applyBorder="1" applyAlignment="1">
      <alignment horizontal="center" vertical="top" wrapText="1"/>
    </xf>
    <xf numFmtId="164" fontId="3" fillId="3" borderId="1" xfId="0" applyNumberFormat="1" applyFont="1" applyFill="1" applyBorder="1" applyAlignment="1">
      <alignment horizontal="center" vertical="top" wrapText="1"/>
    </xf>
    <xf numFmtId="0" fontId="0" fillId="0" borderId="2" xfId="0" applyBorder="1"/>
    <xf numFmtId="0" fontId="0" fillId="3" borderId="2" xfId="0" applyFill="1" applyBorder="1" applyAlignment="1">
      <alignment horizontal="center" vertical="top" wrapText="1"/>
    </xf>
    <xf numFmtId="0" fontId="0" fillId="3" borderId="3" xfId="0" applyFill="1" applyBorder="1" applyAlignment="1">
      <alignment horizontal="center" vertical="top" wrapText="1"/>
    </xf>
    <xf numFmtId="0" fontId="0" fillId="3" borderId="1" xfId="0" applyFont="1" applyFill="1" applyBorder="1" applyAlignment="1">
      <alignment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vertical="top" wrapText="1"/>
    </xf>
    <xf numFmtId="0" fontId="3" fillId="3" borderId="1" xfId="0" applyFont="1" applyFill="1" applyBorder="1"/>
    <xf numFmtId="0" fontId="3" fillId="3" borderId="1" xfId="0" applyFont="1" applyFill="1" applyBorder="1" applyAlignment="1">
      <alignment horizontal="center" vertical="top" wrapText="1"/>
    </xf>
    <xf numFmtId="0" fontId="3" fillId="3" borderId="1" xfId="0" applyFont="1" applyFill="1" applyBorder="1" applyAlignment="1">
      <alignment vertical="top" wrapText="1"/>
    </xf>
    <xf numFmtId="0" fontId="3" fillId="0" borderId="1" xfId="0" applyFont="1" applyBorder="1" applyAlignment="1">
      <alignment horizontal="justify"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Font="1" applyBorder="1"/>
    <xf numFmtId="2" fontId="0" fillId="0" borderId="1" xfId="0" applyNumberFormat="1" applyBorder="1" applyAlignment="1" applyProtection="1">
      <alignment horizontal="center" vertical="top" wrapText="1"/>
      <protection hidden="1"/>
    </xf>
    <xf numFmtId="0" fontId="0" fillId="3" borderId="1" xfId="0" applyFill="1" applyBorder="1" applyAlignment="1">
      <alignment horizontal="center"/>
    </xf>
    <xf numFmtId="0" fontId="0" fillId="0" borderId="1" xfId="0" applyFill="1" applyBorder="1" applyAlignment="1">
      <alignment horizontal="justify" vertical="top" wrapText="1"/>
    </xf>
    <xf numFmtId="2" fontId="4" fillId="0" borderId="1" xfId="0" applyNumberFormat="1" applyFont="1" applyBorder="1" applyAlignment="1" applyProtection="1">
      <alignment horizontal="center" vertical="top" wrapText="1"/>
      <protection hidden="1"/>
    </xf>
    <xf numFmtId="164" fontId="3" fillId="0" borderId="1" xfId="0" applyNumberFormat="1" applyFont="1" applyBorder="1" applyAlignment="1" applyProtection="1">
      <alignment horizontal="center" vertical="top" wrapText="1"/>
      <protection hidden="1"/>
    </xf>
    <xf numFmtId="0" fontId="0" fillId="3" borderId="3" xfId="0" applyFill="1" applyBorder="1" applyAlignment="1">
      <alignment horizontal="left" vertical="top" wrapText="1"/>
    </xf>
    <xf numFmtId="0" fontId="3" fillId="2" borderId="3" xfId="0" applyFont="1" applyFill="1" applyBorder="1" applyAlignment="1">
      <alignment horizontal="left" vertical="top" wrapText="1"/>
    </xf>
    <xf numFmtId="1" fontId="3" fillId="3" borderId="1" xfId="0" applyNumberFormat="1" applyFont="1" applyFill="1" applyBorder="1" applyAlignment="1">
      <alignment horizontal="center" vertical="top" wrapText="1"/>
    </xf>
    <xf numFmtId="0" fontId="3" fillId="3" borderId="1" xfId="0" applyFont="1" applyFill="1" applyBorder="1" applyAlignment="1">
      <alignment horizontal="justify" vertical="top" wrapText="1"/>
    </xf>
    <xf numFmtId="0" fontId="5" fillId="0" borderId="1" xfId="0" applyFont="1" applyFill="1" applyBorder="1" applyAlignment="1">
      <alignment vertical="top" wrapText="1"/>
    </xf>
    <xf numFmtId="0" fontId="4" fillId="0" borderId="1" xfId="0" applyFont="1" applyBorder="1" applyAlignment="1">
      <alignment horizontal="center" vertical="top" wrapText="1"/>
    </xf>
    <xf numFmtId="0" fontId="4" fillId="0" borderId="1" xfId="0" applyFont="1" applyBorder="1" applyAlignment="1">
      <alignment horizontal="justify" vertical="top" wrapText="1"/>
    </xf>
    <xf numFmtId="164" fontId="4" fillId="0" borderId="1" xfId="0" applyNumberFormat="1" applyFont="1" applyBorder="1" applyAlignment="1">
      <alignment horizontal="center" vertical="top" wrapText="1"/>
    </xf>
    <xf numFmtId="0" fontId="4" fillId="0" borderId="1" xfId="0" applyFont="1" applyFill="1" applyBorder="1" applyAlignment="1">
      <alignment horizontal="center" vertical="top" wrapText="1"/>
    </xf>
    <xf numFmtId="2" fontId="4" fillId="3" borderId="1" xfId="0" applyNumberFormat="1" applyFont="1" applyFill="1" applyBorder="1" applyAlignment="1">
      <alignment horizontal="center" vertical="top" wrapText="1"/>
    </xf>
    <xf numFmtId="164" fontId="4" fillId="0" borderId="1" xfId="0" applyNumberFormat="1" applyFont="1" applyBorder="1" applyAlignment="1" applyProtection="1">
      <alignment horizontal="center" vertical="top" wrapText="1"/>
      <protection hidden="1"/>
    </xf>
    <xf numFmtId="0" fontId="4" fillId="0" borderId="3" xfId="0" applyFont="1" applyBorder="1" applyAlignment="1">
      <alignment horizontal="center" vertical="top" wrapText="1"/>
    </xf>
    <xf numFmtId="0" fontId="4" fillId="3" borderId="1" xfId="0" applyFont="1" applyFill="1" applyBorder="1" applyAlignment="1">
      <alignment horizontal="center" vertical="top" wrapText="1"/>
    </xf>
    <xf numFmtId="0" fontId="4" fillId="0" borderId="1" xfId="0" applyFont="1" applyFill="1" applyBorder="1" applyAlignment="1">
      <alignmen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2" borderId="4" xfId="0" applyFill="1" applyBorder="1" applyAlignment="1">
      <alignment horizontal="center" vertical="top" wrapText="1"/>
    </xf>
    <xf numFmtId="0" fontId="0" fillId="2" borderId="3" xfId="0" applyFill="1" applyBorder="1" applyAlignment="1">
      <alignment horizontal="center" vertical="top" wrapText="1"/>
    </xf>
    <xf numFmtId="0" fontId="0" fillId="4" borderId="1" xfId="0" applyFill="1" applyBorder="1" applyAlignment="1">
      <alignment vertical="top" wrapText="1"/>
    </xf>
    <xf numFmtId="0" fontId="0" fillId="0" borderId="1" xfId="0" applyFill="1" applyBorder="1"/>
    <xf numFmtId="0" fontId="0" fillId="0" borderId="0" xfId="0" applyFill="1" applyAlignment="1">
      <alignment horizontal="center" vertical="top" wrapText="1"/>
    </xf>
    <xf numFmtId="0" fontId="0" fillId="0" borderId="0" xfId="0" applyFill="1"/>
    <xf numFmtId="164" fontId="0" fillId="0" borderId="1" xfId="0" applyNumberFormat="1" applyFill="1" applyBorder="1" applyAlignment="1" applyProtection="1">
      <alignment horizontal="center" vertical="top" wrapText="1"/>
      <protection hidden="1"/>
    </xf>
    <xf numFmtId="0" fontId="4" fillId="2" borderId="1" xfId="0" applyFont="1" applyFill="1" applyBorder="1" applyAlignment="1">
      <alignment vertical="top" wrapText="1"/>
    </xf>
    <xf numFmtId="2" fontId="0" fillId="0" borderId="1" xfId="0" applyNumberFormat="1" applyFill="1" applyBorder="1" applyAlignment="1" applyProtection="1">
      <alignment horizontal="center" vertical="top" wrapText="1"/>
      <protection hidden="1"/>
    </xf>
    <xf numFmtId="0" fontId="0" fillId="4" borderId="1" xfId="0" applyFill="1" applyBorder="1" applyAlignment="1">
      <alignment horizontal="center" vertical="top" wrapText="1"/>
    </xf>
    <xf numFmtId="0" fontId="0" fillId="2" borderId="1" xfId="0" applyFill="1" applyBorder="1" applyAlignment="1">
      <alignment horizontal="center" vertical="top" wrapText="1"/>
    </xf>
    <xf numFmtId="0" fontId="0" fillId="2" borderId="1" xfId="0" applyFill="1" applyBorder="1" applyAlignment="1">
      <alignment horizontal="justify" vertical="top" wrapText="1"/>
    </xf>
    <xf numFmtId="2" fontId="0" fillId="2" borderId="1" xfId="0" applyNumberFormat="1" applyFill="1" applyBorder="1" applyAlignment="1" applyProtection="1">
      <alignment horizontal="center" vertical="top" wrapText="1"/>
      <protection hidden="1"/>
    </xf>
    <xf numFmtId="0" fontId="4" fillId="3"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justify" vertical="top" wrapText="1"/>
    </xf>
    <xf numFmtId="2" fontId="0" fillId="4" borderId="1" xfId="0" applyNumberForma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1" xfId="0" applyFont="1" applyFill="1" applyBorder="1"/>
    <xf numFmtId="3" fontId="4" fillId="2" borderId="1" xfId="0" applyNumberFormat="1" applyFont="1" applyFill="1" applyBorder="1" applyAlignment="1">
      <alignment horizontal="center" vertical="top" wrapText="1"/>
    </xf>
    <xf numFmtId="2" fontId="4" fillId="0" borderId="1" xfId="0" applyNumberFormat="1" applyFont="1" applyFill="1" applyBorder="1" applyAlignment="1" applyProtection="1">
      <alignment horizontal="center" vertical="top" wrapText="1"/>
      <protection hidden="1"/>
    </xf>
    <xf numFmtId="0" fontId="0" fillId="4" borderId="1" xfId="0" applyFill="1" applyBorder="1"/>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0" fillId="2" borderId="1" xfId="0" applyFill="1" applyBorder="1"/>
    <xf numFmtId="2" fontId="4" fillId="2" borderId="1" xfId="0" applyNumberFormat="1" applyFont="1" applyFill="1" applyBorder="1" applyAlignment="1" applyProtection="1">
      <alignment horizontal="center" vertical="top" wrapText="1"/>
      <protection hidden="1"/>
    </xf>
    <xf numFmtId="164" fontId="0" fillId="0" borderId="1" xfId="0" applyNumberFormat="1" applyFill="1" applyBorder="1" applyAlignment="1">
      <alignment horizontal="center" vertical="top" wrapText="1"/>
    </xf>
    <xf numFmtId="0" fontId="4" fillId="0" borderId="1" xfId="0" applyFont="1" applyFill="1" applyBorder="1" applyAlignment="1">
      <alignment horizontal="justify" vertical="top" wrapText="1"/>
    </xf>
    <xf numFmtId="1" fontId="0" fillId="0" borderId="1" xfId="0" applyNumberFormat="1" applyFill="1" applyBorder="1" applyAlignment="1">
      <alignment horizontal="center" vertical="top" wrapText="1"/>
    </xf>
    <xf numFmtId="0" fontId="4" fillId="3" borderId="1" xfId="0" applyFont="1" applyFill="1" applyBorder="1" applyAlignment="1">
      <alignment horizontal="justify" vertical="top" wrapText="1"/>
    </xf>
    <xf numFmtId="0" fontId="4" fillId="3" borderId="1" xfId="0" applyFont="1" applyFill="1" applyBorder="1"/>
    <xf numFmtId="164" fontId="4" fillId="3" borderId="1" xfId="0" applyNumberFormat="1" applyFont="1" applyFill="1" applyBorder="1" applyAlignment="1">
      <alignment horizontal="center" vertical="top" wrapText="1"/>
    </xf>
    <xf numFmtId="0" fontId="7" fillId="3" borderId="1" xfId="0" applyFont="1" applyFill="1" applyBorder="1" applyAlignment="1">
      <alignment horizontal="center" vertical="top" wrapText="1"/>
    </xf>
    <xf numFmtId="0" fontId="7" fillId="3" borderId="1" xfId="0" applyFont="1" applyFill="1" applyBorder="1" applyAlignment="1">
      <alignment vertical="top" wrapText="1"/>
    </xf>
    <xf numFmtId="0" fontId="5" fillId="3" borderId="1" xfId="0" applyFont="1" applyFill="1" applyBorder="1" applyAlignment="1">
      <alignment horizontal="left" vertical="top" wrapText="1"/>
    </xf>
    <xf numFmtId="2" fontId="0" fillId="3" borderId="1" xfId="0" applyNumberFormat="1" applyFill="1" applyBorder="1" applyAlignment="1">
      <alignment horizontal="center"/>
    </xf>
    <xf numFmtId="0" fontId="3" fillId="3" borderId="1" xfId="0" applyFont="1" applyFill="1" applyBorder="1" applyAlignment="1">
      <alignment horizontal="center"/>
    </xf>
    <xf numFmtId="0" fontId="0" fillId="2" borderId="3" xfId="0" applyFill="1" applyBorder="1" applyAlignment="1">
      <alignment horizontal="left" vertical="top" wrapText="1"/>
    </xf>
    <xf numFmtId="2" fontId="0" fillId="0" borderId="1" xfId="0" applyNumberFormat="1" applyFill="1" applyBorder="1" applyAlignment="1">
      <alignment horizontal="center" vertical="top" wrapText="1"/>
    </xf>
    <xf numFmtId="1" fontId="0" fillId="4" borderId="1" xfId="0" applyNumberFormat="1" applyFill="1" applyBorder="1" applyAlignment="1">
      <alignment horizontal="center" vertical="top" wrapText="1"/>
    </xf>
    <xf numFmtId="0" fontId="4" fillId="4" borderId="1" xfId="0" applyFont="1" applyFill="1" applyBorder="1" applyAlignment="1">
      <alignment horizontal="center" vertical="top" wrapText="1"/>
    </xf>
    <xf numFmtId="0" fontId="4" fillId="4" borderId="1" xfId="0" applyFont="1" applyFill="1" applyBorder="1" applyAlignment="1">
      <alignment vertical="top" wrapText="1"/>
    </xf>
    <xf numFmtId="1" fontId="4" fillId="4" borderId="1" xfId="0" applyNumberFormat="1" applyFont="1" applyFill="1" applyBorder="1" applyAlignment="1">
      <alignment horizontal="center" vertical="top" wrapText="1"/>
    </xf>
    <xf numFmtId="164" fontId="0" fillId="4" borderId="1" xfId="0" applyNumberFormat="1" applyFill="1" applyBorder="1" applyAlignment="1">
      <alignment horizontal="center" vertical="top" wrapText="1"/>
    </xf>
    <xf numFmtId="0" fontId="0" fillId="4" borderId="3" xfId="0" applyFill="1" applyBorder="1" applyAlignment="1">
      <alignment horizontal="left" vertical="top" wrapText="1"/>
    </xf>
    <xf numFmtId="164" fontId="4" fillId="4" borderId="1" xfId="0" applyNumberFormat="1" applyFont="1" applyFill="1" applyBorder="1" applyAlignment="1">
      <alignment horizontal="center" vertical="top" wrapText="1"/>
    </xf>
    <xf numFmtId="0" fontId="0" fillId="0" borderId="1" xfId="0"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0" fontId="0" fillId="0" borderId="1" xfId="0" applyFill="1" applyBorder="1" applyAlignment="1">
      <alignment horizontal="center"/>
    </xf>
    <xf numFmtId="164" fontId="3" fillId="0" borderId="1" xfId="0" applyNumberFormat="1" applyFont="1" applyFill="1" applyBorder="1" applyAlignment="1" applyProtection="1">
      <alignment horizontal="center" vertical="top" wrapText="1"/>
      <protection hidden="1"/>
    </xf>
    <xf numFmtId="164" fontId="0" fillId="0" borderId="2" xfId="0" applyNumberFormat="1" applyFill="1" applyBorder="1" applyAlignment="1" applyProtection="1">
      <alignment horizontal="center" vertical="top" wrapText="1"/>
      <protection hidden="1"/>
    </xf>
    <xf numFmtId="0" fontId="7" fillId="3" borderId="1" xfId="0" applyFont="1" applyFill="1" applyBorder="1" applyAlignment="1">
      <alignment horizontal="left" vertical="top" wrapText="1"/>
    </xf>
    <xf numFmtId="0" fontId="1" fillId="0" borderId="1" xfId="0" applyFont="1" applyBorder="1" applyAlignment="1">
      <alignment horizontal="center"/>
    </xf>
    <xf numFmtId="0" fontId="0" fillId="0" borderId="0" xfId="0" applyFill="1" applyBorder="1" applyAlignment="1" applyProtection="1">
      <alignment horizontal="left" vertical="top" wrapText="1"/>
      <protection hidden="1"/>
    </xf>
    <xf numFmtId="0" fontId="1" fillId="0" borderId="1" xfId="0" applyFont="1" applyBorder="1" applyAlignment="1">
      <alignment horizontal="center" wrapText="1"/>
    </xf>
    <xf numFmtId="0" fontId="2" fillId="0" borderId="0" xfId="0" applyFont="1" applyAlignment="1">
      <alignment horizontal="center"/>
    </xf>
    <xf numFmtId="0" fontId="1" fillId="0" borderId="1" xfId="0" applyFont="1" applyFill="1" applyBorder="1" applyAlignment="1">
      <alignment horizontal="center"/>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0" fillId="0" borderId="1" xfId="0" applyBorder="1" applyAlignment="1">
      <alignment horizontal="center"/>
    </xf>
    <xf numFmtId="0" fontId="0" fillId="0" borderId="3" xfId="0" applyFill="1" applyBorder="1" applyAlignment="1">
      <alignment horizontal="left" vertical="top" wrapText="1"/>
    </xf>
    <xf numFmtId="0" fontId="2" fillId="0" borderId="0" xfId="0" applyFont="1" applyAlignment="1">
      <alignment horizontal="center"/>
    </xf>
    <xf numFmtId="0" fontId="1" fillId="0" borderId="0" xfId="0" applyFont="1" applyBorder="1" applyAlignment="1">
      <alignment horizontal="center"/>
    </xf>
    <xf numFmtId="0" fontId="1" fillId="0" borderId="0" xfId="0" applyFont="1" applyBorder="1" applyAlignment="1">
      <alignment horizontal="center" wrapText="1"/>
    </xf>
    <xf numFmtId="1" fontId="0" fillId="2" borderId="1" xfId="0" applyNumberFormat="1" applyFill="1" applyBorder="1" applyAlignment="1">
      <alignment horizontal="center" vertical="top" wrapText="1"/>
    </xf>
    <xf numFmtId="0" fontId="2" fillId="0" borderId="0" xfId="0" applyFont="1" applyAlignment="1">
      <alignment horizontal="center"/>
    </xf>
    <xf numFmtId="0" fontId="0" fillId="2" borderId="2" xfId="0" applyFill="1" applyBorder="1" applyAlignment="1">
      <alignment horizontal="left" vertical="top" wrapText="1"/>
    </xf>
    <xf numFmtId="0" fontId="0" fillId="2" borderId="2" xfId="0" applyFill="1" applyBorder="1" applyAlignment="1">
      <alignment horizontal="center" vertical="top" wrapText="1"/>
    </xf>
    <xf numFmtId="2" fontId="0" fillId="2" borderId="1" xfId="0" applyNumberFormat="1" applyFill="1" applyBorder="1" applyAlignment="1">
      <alignment horizontal="center" vertical="top" wrapText="1"/>
    </xf>
    <xf numFmtId="0" fontId="1" fillId="0" borderId="1" xfId="0" applyFont="1" applyBorder="1" applyAlignment="1">
      <alignment horizontal="center"/>
    </xf>
    <xf numFmtId="0" fontId="2" fillId="0" borderId="0" xfId="0" applyFont="1" applyAlignment="1">
      <alignment horizontal="center"/>
    </xf>
    <xf numFmtId="0" fontId="1" fillId="0" borderId="1" xfId="0" applyFont="1" applyBorder="1" applyAlignment="1">
      <alignment horizontal="center" wrapText="1"/>
    </xf>
    <xf numFmtId="0" fontId="11" fillId="2" borderId="1" xfId="0" applyFont="1" applyFill="1" applyBorder="1" applyAlignment="1">
      <alignment vertical="top" wrapText="1"/>
    </xf>
    <xf numFmtId="0" fontId="15" fillId="0" borderId="1" xfId="0" applyFont="1" applyBorder="1" applyAlignment="1">
      <alignment horizontal="center" vertical="top" wrapText="1"/>
    </xf>
    <xf numFmtId="1" fontId="15" fillId="0" borderId="1" xfId="0" applyNumberFormat="1" applyFont="1" applyBorder="1" applyAlignment="1">
      <alignment horizontal="center" vertical="top" wrapText="1"/>
    </xf>
    <xf numFmtId="0" fontId="11" fillId="2" borderId="3" xfId="0" applyFont="1" applyFill="1" applyBorder="1" applyAlignment="1">
      <alignment horizontal="left" vertical="top" wrapText="1"/>
    </xf>
    <xf numFmtId="164" fontId="15" fillId="2" borderId="1" xfId="0" applyNumberFormat="1" applyFont="1" applyFill="1" applyBorder="1" applyAlignment="1">
      <alignment horizontal="center" vertical="top" wrapText="1"/>
    </xf>
    <xf numFmtId="1" fontId="15" fillId="2" borderId="1" xfId="0" applyNumberFormat="1" applyFont="1" applyFill="1" applyBorder="1" applyAlignment="1">
      <alignment horizontal="center" vertical="top" wrapText="1"/>
    </xf>
    <xf numFmtId="3" fontId="15" fillId="0" borderId="1" xfId="0" applyNumberFormat="1" applyFont="1" applyFill="1" applyBorder="1" applyAlignment="1">
      <alignment horizontal="center" vertical="top" wrapText="1"/>
    </xf>
    <xf numFmtId="2" fontId="11" fillId="2" borderId="1" xfId="0" applyNumberFormat="1" applyFont="1" applyFill="1" applyBorder="1" applyAlignment="1">
      <alignment horizontal="center" vertical="top" wrapText="1"/>
    </xf>
    <xf numFmtId="1" fontId="11" fillId="2" borderId="1" xfId="0" applyNumberFormat="1" applyFont="1" applyFill="1" applyBorder="1" applyAlignment="1">
      <alignment horizontal="center" vertical="top" wrapText="1"/>
    </xf>
    <xf numFmtId="3" fontId="15" fillId="0" borderId="1" xfId="0" applyNumberFormat="1" applyFont="1" applyBorder="1" applyAlignment="1">
      <alignment horizontal="center" vertical="top" wrapText="1"/>
    </xf>
    <xf numFmtId="0" fontId="15" fillId="0" borderId="1" xfId="0" applyFont="1" applyBorder="1"/>
    <xf numFmtId="0" fontId="15" fillId="2" borderId="1" xfId="0" applyFont="1" applyFill="1" applyBorder="1" applyAlignment="1">
      <alignment vertical="top" wrapText="1"/>
    </xf>
    <xf numFmtId="0" fontId="15" fillId="0" borderId="0" xfId="0" applyFont="1"/>
    <xf numFmtId="0" fontId="14" fillId="2" borderId="1" xfId="0" applyFont="1" applyFill="1" applyBorder="1" applyAlignment="1">
      <alignment vertical="top" wrapText="1"/>
    </xf>
    <xf numFmtId="0" fontId="11" fillId="2" borderId="1" xfId="0" applyFont="1" applyFill="1" applyBorder="1"/>
    <xf numFmtId="0" fontId="11" fillId="2" borderId="1" xfId="0" applyFont="1" applyFill="1" applyBorder="1" applyAlignment="1">
      <alignment horizontal="center" vertical="top" wrapText="1"/>
    </xf>
    <xf numFmtId="0" fontId="11" fillId="2" borderId="0" xfId="0" applyFont="1" applyFill="1" applyAlignment="1">
      <alignment horizontal="center" vertical="top" wrapText="1"/>
    </xf>
    <xf numFmtId="0" fontId="11" fillId="2" borderId="0" xfId="0" applyFont="1" applyFill="1"/>
    <xf numFmtId="0" fontId="14" fillId="2" borderId="1" xfId="0" applyFont="1" applyFill="1" applyBorder="1"/>
    <xf numFmtId="0" fontId="14" fillId="2" borderId="1" xfId="0" applyFont="1" applyFill="1" applyBorder="1" applyAlignment="1">
      <alignment horizontal="center" vertical="top" wrapText="1"/>
    </xf>
    <xf numFmtId="1" fontId="14" fillId="2" borderId="1" xfId="0" applyNumberFormat="1" applyFont="1" applyFill="1" applyBorder="1" applyAlignment="1">
      <alignment horizontal="center" vertical="top" wrapText="1"/>
    </xf>
    <xf numFmtId="0" fontId="14" fillId="2" borderId="0" xfId="0" applyFont="1" applyFill="1" applyAlignment="1">
      <alignment horizontal="center" vertical="top" wrapText="1"/>
    </xf>
    <xf numFmtId="0" fontId="14" fillId="2" borderId="0" xfId="0" applyFont="1" applyFill="1"/>
    <xf numFmtId="164" fontId="14" fillId="2" borderId="1" xfId="0" applyNumberFormat="1" applyFont="1" applyFill="1" applyBorder="1" applyAlignment="1">
      <alignment horizontal="center" vertical="top" wrapText="1"/>
    </xf>
    <xf numFmtId="3" fontId="11" fillId="2" borderId="1" xfId="0" applyNumberFormat="1" applyFont="1" applyFill="1" applyBorder="1" applyAlignment="1">
      <alignment horizontal="center" vertical="top" wrapText="1"/>
    </xf>
    <xf numFmtId="0" fontId="12" fillId="2" borderId="1" xfId="0" applyFont="1" applyFill="1" applyBorder="1" applyAlignment="1">
      <alignment horizontal="center" vertical="top" wrapText="1"/>
    </xf>
    <xf numFmtId="0" fontId="12" fillId="2" borderId="1" xfId="0" applyFont="1" applyFill="1" applyBorder="1" applyAlignment="1">
      <alignment vertical="top" wrapText="1"/>
    </xf>
    <xf numFmtId="0" fontId="11" fillId="2" borderId="2" xfId="0" applyFont="1" applyFill="1" applyBorder="1" applyAlignment="1">
      <alignment horizontal="center" vertical="top" wrapText="1"/>
    </xf>
    <xf numFmtId="0" fontId="11" fillId="2" borderId="1" xfId="0" applyFont="1" applyFill="1" applyBorder="1" applyAlignment="1">
      <alignment horizontal="justify" vertical="top" wrapText="1"/>
    </xf>
    <xf numFmtId="1" fontId="11" fillId="2" borderId="0" xfId="0" applyNumberFormat="1" applyFont="1" applyFill="1"/>
    <xf numFmtId="2" fontId="14" fillId="2" borderId="1" xfId="0" applyNumberFormat="1" applyFont="1" applyFill="1" applyBorder="1" applyAlignment="1">
      <alignment horizontal="center" vertical="top" wrapText="1"/>
    </xf>
    <xf numFmtId="1" fontId="14" fillId="2" borderId="0" xfId="0" applyNumberFormat="1" applyFont="1" applyFill="1"/>
    <xf numFmtId="0" fontId="15" fillId="2" borderId="1" xfId="0" applyFont="1" applyFill="1" applyBorder="1" applyAlignment="1">
      <alignment horizontal="center" vertical="top" wrapText="1"/>
    </xf>
    <xf numFmtId="3" fontId="15" fillId="2" borderId="1" xfId="0" applyNumberFormat="1" applyFont="1" applyFill="1" applyBorder="1" applyAlignment="1">
      <alignment horizontal="center" vertical="top" wrapText="1"/>
    </xf>
    <xf numFmtId="0" fontId="16" fillId="2" borderId="1" xfId="0" applyFont="1" applyFill="1" applyBorder="1" applyAlignment="1">
      <alignment horizontal="center" vertical="top" wrapText="1"/>
    </xf>
    <xf numFmtId="0" fontId="16" fillId="2" borderId="1" xfId="0" applyFont="1" applyFill="1" applyBorder="1" applyAlignment="1">
      <alignment vertical="top" wrapText="1"/>
    </xf>
    <xf numFmtId="0" fontId="15" fillId="2" borderId="1" xfId="0" applyFont="1" applyFill="1" applyBorder="1"/>
    <xf numFmtId="2" fontId="15" fillId="2" borderId="1" xfId="0" applyNumberFormat="1" applyFont="1" applyFill="1" applyBorder="1" applyAlignment="1">
      <alignment horizontal="center" vertical="top" wrapText="1"/>
    </xf>
    <xf numFmtId="0" fontId="15" fillId="2" borderId="2" xfId="0" applyFont="1" applyFill="1" applyBorder="1" applyAlignment="1">
      <alignment horizontal="center" vertical="top" wrapText="1"/>
    </xf>
    <xf numFmtId="0" fontId="15" fillId="2" borderId="1" xfId="0" applyFont="1" applyFill="1" applyBorder="1" applyAlignment="1">
      <alignment horizontal="justify" vertical="top" wrapText="1"/>
    </xf>
    <xf numFmtId="1" fontId="17" fillId="2" borderId="1" xfId="0" applyNumberFormat="1" applyFont="1" applyFill="1" applyBorder="1" applyAlignment="1">
      <alignment horizontal="center" vertical="top" wrapText="1"/>
    </xf>
    <xf numFmtId="3" fontId="17" fillId="2" borderId="1" xfId="0" applyNumberFormat="1" applyFont="1" applyFill="1" applyBorder="1" applyAlignment="1">
      <alignment horizontal="center" vertical="top" wrapText="1"/>
    </xf>
    <xf numFmtId="0" fontId="17" fillId="2" borderId="1" xfId="0" applyFont="1" applyFill="1" applyBorder="1" applyAlignment="1">
      <alignment horizontal="center" vertical="top" wrapText="1"/>
    </xf>
    <xf numFmtId="0" fontId="17" fillId="2" borderId="0" xfId="0" applyFont="1" applyFill="1"/>
    <xf numFmtId="0" fontId="18" fillId="2" borderId="1" xfId="0" applyFont="1" applyFill="1" applyBorder="1" applyAlignment="1">
      <alignment horizontal="center" vertical="top" wrapText="1"/>
    </xf>
    <xf numFmtId="0" fontId="18" fillId="2" borderId="1" xfId="0" applyFont="1" applyFill="1" applyBorder="1" applyAlignment="1">
      <alignment vertical="top" wrapText="1"/>
    </xf>
    <xf numFmtId="0" fontId="17" fillId="2" borderId="1" xfId="0" applyFont="1" applyFill="1" applyBorder="1"/>
    <xf numFmtId="0" fontId="17" fillId="2" borderId="1" xfId="0" applyFont="1" applyFill="1" applyBorder="1" applyAlignment="1">
      <alignment vertical="top" wrapText="1"/>
    </xf>
    <xf numFmtId="2" fontId="17" fillId="2" borderId="1" xfId="0" applyNumberFormat="1" applyFont="1" applyFill="1" applyBorder="1" applyAlignment="1">
      <alignment horizontal="center" vertical="top" wrapText="1"/>
    </xf>
    <xf numFmtId="0" fontId="0" fillId="2" borderId="3" xfId="0" applyFill="1" applyBorder="1" applyAlignment="1">
      <alignment vertical="top" wrapText="1"/>
    </xf>
    <xf numFmtId="0" fontId="3" fillId="2" borderId="1" xfId="0" applyFont="1" applyFill="1" applyBorder="1" applyAlignment="1">
      <alignment horizontal="center" vertical="top" wrapText="1"/>
    </xf>
    <xf numFmtId="0" fontId="15" fillId="0" borderId="1" xfId="0" applyFont="1" applyFill="1" applyBorder="1" applyAlignment="1">
      <alignment horizontal="center" vertical="top" wrapText="1"/>
    </xf>
    <xf numFmtId="0" fontId="15" fillId="0" borderId="1" xfId="0" applyFont="1" applyFill="1" applyBorder="1" applyAlignment="1">
      <alignment vertical="top" wrapText="1"/>
    </xf>
    <xf numFmtId="164" fontId="11" fillId="2" borderId="1" xfId="0" applyNumberFormat="1" applyFont="1" applyFill="1" applyBorder="1" applyAlignment="1">
      <alignment horizontal="center" vertical="top" wrapText="1"/>
    </xf>
    <xf numFmtId="0" fontId="11" fillId="2" borderId="2" xfId="0" applyFont="1" applyFill="1" applyBorder="1" applyAlignment="1">
      <alignment vertical="top" wrapText="1"/>
    </xf>
    <xf numFmtId="0" fontId="13" fillId="2" borderId="2" xfId="0" applyFont="1" applyFill="1" applyBorder="1" applyAlignment="1">
      <alignment vertical="top" wrapText="1"/>
    </xf>
    <xf numFmtId="0" fontId="11" fillId="2" borderId="4" xfId="0" applyFont="1" applyFill="1" applyBorder="1" applyAlignment="1">
      <alignment vertical="top" wrapText="1"/>
    </xf>
    <xf numFmtId="0" fontId="11" fillId="2" borderId="3" xfId="0" applyFont="1" applyFill="1" applyBorder="1" applyAlignment="1">
      <alignment vertical="top" wrapText="1"/>
    </xf>
    <xf numFmtId="0" fontId="19" fillId="0" borderId="0" xfId="0" applyFont="1" applyAlignment="1"/>
    <xf numFmtId="0" fontId="19" fillId="0" borderId="0" xfId="0" applyFont="1" applyAlignment="1">
      <alignment horizontal="center"/>
    </xf>
    <xf numFmtId="0" fontId="16" fillId="0" borderId="0" xfId="0" applyFont="1" applyAlignment="1">
      <alignment horizont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0" xfId="0" applyFont="1" applyAlignment="1">
      <alignment horizontal="center" vertical="center" wrapText="1"/>
    </xf>
    <xf numFmtId="0" fontId="16" fillId="0" borderId="1" xfId="0" applyFont="1" applyBorder="1" applyAlignment="1">
      <alignment horizontal="center"/>
    </xf>
    <xf numFmtId="0" fontId="16" fillId="0" borderId="1" xfId="0" applyFont="1" applyFill="1" applyBorder="1" applyAlignment="1">
      <alignment horizontal="center" vertical="top" wrapText="1"/>
    </xf>
    <xf numFmtId="0" fontId="16" fillId="0" borderId="1" xfId="0" applyFont="1" applyFill="1" applyBorder="1" applyAlignment="1">
      <alignment vertical="top" wrapText="1"/>
    </xf>
    <xf numFmtId="0" fontId="15" fillId="0" borderId="1" xfId="0" applyFont="1" applyFill="1" applyBorder="1"/>
    <xf numFmtId="0" fontId="15" fillId="0" borderId="0" xfId="0" applyFont="1" applyFill="1"/>
    <xf numFmtId="0" fontId="15" fillId="2" borderId="1" xfId="0" applyFont="1" applyFill="1" applyBorder="1" applyAlignment="1">
      <alignment horizontal="center" vertical="center" wrapText="1"/>
    </xf>
    <xf numFmtId="2" fontId="15" fillId="2" borderId="1" xfId="0" applyNumberFormat="1" applyFont="1" applyFill="1" applyBorder="1" applyAlignment="1">
      <alignment horizontal="center" vertical="center" wrapText="1"/>
    </xf>
    <xf numFmtId="0" fontId="15" fillId="0" borderId="0" xfId="0" applyFont="1" applyFill="1" applyAlignment="1">
      <alignment horizontal="center" vertical="top" wrapText="1"/>
    </xf>
    <xf numFmtId="0" fontId="20" fillId="2" borderId="2" xfId="0" applyFont="1" applyFill="1" applyBorder="1" applyAlignment="1">
      <alignment vertical="top" wrapText="1"/>
    </xf>
    <xf numFmtId="0" fontId="15" fillId="2" borderId="2" xfId="0" applyFont="1" applyFill="1" applyBorder="1" applyAlignment="1">
      <alignment vertical="top" wrapText="1"/>
    </xf>
    <xf numFmtId="0" fontId="15" fillId="0" borderId="0" xfId="0" applyFont="1" applyAlignment="1">
      <alignment horizontal="center" vertical="top" wrapText="1"/>
    </xf>
    <xf numFmtId="0" fontId="15" fillId="2" borderId="4" xfId="0" applyFont="1" applyFill="1" applyBorder="1" applyAlignment="1">
      <alignment vertical="top" wrapText="1"/>
    </xf>
    <xf numFmtId="2" fontId="15" fillId="0" borderId="0" xfId="0" applyNumberFormat="1" applyFont="1"/>
    <xf numFmtId="0" fontId="15" fillId="2" borderId="3" xfId="0" applyFont="1" applyFill="1" applyBorder="1" applyAlignment="1">
      <alignment vertical="top" wrapText="1"/>
    </xf>
    <xf numFmtId="2" fontId="15" fillId="0" borderId="1" xfId="0" applyNumberFormat="1" applyFont="1" applyFill="1" applyBorder="1" applyAlignment="1">
      <alignment horizontal="center" vertical="center" wrapText="1"/>
    </xf>
    <xf numFmtId="0" fontId="15" fillId="0" borderId="2" xfId="0" applyFont="1" applyFill="1" applyBorder="1" applyAlignment="1">
      <alignment horizontal="center" vertical="top" wrapText="1"/>
    </xf>
    <xf numFmtId="0" fontId="15" fillId="0" borderId="2" xfId="0" applyFont="1" applyFill="1" applyBorder="1"/>
    <xf numFmtId="0" fontId="20" fillId="0" borderId="2" xfId="0" applyFont="1" applyBorder="1" applyAlignment="1">
      <alignment vertical="top" wrapText="1"/>
    </xf>
    <xf numFmtId="3" fontId="15" fillId="0" borderId="0" xfId="0" applyNumberFormat="1" applyFont="1"/>
    <xf numFmtId="0" fontId="15" fillId="0" borderId="1" xfId="0" applyFont="1" applyFill="1" applyBorder="1" applyAlignment="1">
      <alignment horizontal="center" vertical="center"/>
    </xf>
    <xf numFmtId="1" fontId="15" fillId="0" borderId="1" xfId="0" applyNumberFormat="1" applyFont="1" applyFill="1" applyBorder="1" applyAlignment="1">
      <alignment horizontal="center" vertical="top" wrapText="1"/>
    </xf>
    <xf numFmtId="2" fontId="15" fillId="0" borderId="1" xfId="0" applyNumberFormat="1" applyFont="1" applyFill="1" applyBorder="1" applyAlignment="1">
      <alignment horizontal="center" vertical="top" wrapText="1"/>
    </xf>
    <xf numFmtId="0" fontId="20" fillId="0" borderId="1" xfId="0" applyFont="1" applyFill="1" applyBorder="1" applyAlignment="1">
      <alignment vertical="top" wrapText="1"/>
    </xf>
    <xf numFmtId="0" fontId="15" fillId="0" borderId="4" xfId="0" applyFont="1" applyBorder="1" applyAlignment="1">
      <alignment vertical="top" wrapText="1"/>
    </xf>
    <xf numFmtId="0" fontId="15" fillId="0" borderId="3" xfId="0" applyFont="1" applyBorder="1" applyAlignment="1">
      <alignment vertical="top" wrapText="1"/>
    </xf>
    <xf numFmtId="0" fontId="20" fillId="0" borderId="1" xfId="0" applyFont="1" applyBorder="1" applyAlignment="1">
      <alignment vertical="top" wrapText="1"/>
    </xf>
    <xf numFmtId="0" fontId="15" fillId="0" borderId="3" xfId="0" applyFont="1" applyBorder="1" applyAlignment="1">
      <alignment horizontal="center" vertical="center"/>
    </xf>
    <xf numFmtId="0" fontId="15" fillId="0" borderId="3" xfId="0" applyFont="1" applyBorder="1" applyAlignment="1">
      <alignment horizontal="center" vertical="center" wrapText="1"/>
    </xf>
    <xf numFmtId="0" fontId="15" fillId="0" borderId="3" xfId="0" applyFont="1" applyBorder="1" applyAlignment="1">
      <alignment horizontal="center"/>
    </xf>
    <xf numFmtId="0" fontId="15" fillId="0" borderId="1" xfId="0" applyFont="1" applyBorder="1" applyAlignment="1">
      <alignment vertical="top" wrapText="1"/>
    </xf>
    <xf numFmtId="2" fontId="15" fillId="0" borderId="1" xfId="0" applyNumberFormat="1" applyFont="1" applyBorder="1" applyAlignment="1">
      <alignment horizontal="center" vertical="top" wrapText="1"/>
    </xf>
    <xf numFmtId="0" fontId="15" fillId="0" borderId="2" xfId="0" applyFont="1" applyBorder="1" applyAlignment="1">
      <alignment horizontal="left" vertical="top" wrapText="1"/>
    </xf>
    <xf numFmtId="0" fontId="20" fillId="0" borderId="2" xfId="0" applyFont="1" applyBorder="1" applyAlignment="1">
      <alignment horizontal="left" vertical="top" wrapText="1"/>
    </xf>
    <xf numFmtId="0" fontId="20" fillId="2" borderId="1" xfId="0" applyFont="1" applyFill="1" applyBorder="1" applyAlignment="1">
      <alignment vertical="top" wrapText="1"/>
    </xf>
    <xf numFmtId="0" fontId="20" fillId="0" borderId="2" xfId="0" applyFont="1" applyFill="1" applyBorder="1" applyAlignment="1">
      <alignment vertical="top" wrapText="1"/>
    </xf>
    <xf numFmtId="0" fontId="15" fillId="0" borderId="4" xfId="0" applyFont="1" applyFill="1" applyBorder="1" applyAlignment="1">
      <alignment vertical="top" wrapText="1"/>
    </xf>
    <xf numFmtId="0" fontId="15" fillId="0" borderId="3" xfId="0" applyFont="1" applyFill="1" applyBorder="1" applyAlignment="1">
      <alignment vertical="top" wrapText="1"/>
    </xf>
    <xf numFmtId="0" fontId="15" fillId="0" borderId="1" xfId="0" applyFont="1" applyBorder="1" applyAlignment="1">
      <alignment horizontal="justify" vertical="top" wrapText="1"/>
    </xf>
    <xf numFmtId="0" fontId="15" fillId="2" borderId="0" xfId="0" applyFont="1" applyFill="1"/>
    <xf numFmtId="0" fontId="15" fillId="2" borderId="2" xfId="0" applyFont="1" applyFill="1" applyBorder="1" applyAlignment="1">
      <alignment vertical="top" wrapText="1" shrinkToFit="1"/>
    </xf>
    <xf numFmtId="0" fontId="15" fillId="2" borderId="4" xfId="0" applyFont="1" applyFill="1" applyBorder="1" applyAlignment="1">
      <alignment vertical="center" wrapText="1"/>
    </xf>
    <xf numFmtId="0" fontId="15" fillId="2" borderId="2" xfId="0" applyFont="1" applyFill="1" applyBorder="1" applyAlignment="1">
      <alignment vertical="center" wrapText="1"/>
    </xf>
    <xf numFmtId="2" fontId="15" fillId="0" borderId="0" xfId="0" applyNumberFormat="1" applyFont="1" applyAlignment="1">
      <alignment horizontal="center" vertical="top" wrapText="1"/>
    </xf>
    <xf numFmtId="0" fontId="20" fillId="2" borderId="4" xfId="0" applyFont="1" applyFill="1" applyBorder="1" applyAlignment="1">
      <alignment vertical="top" wrapText="1"/>
    </xf>
    <xf numFmtId="165" fontId="15" fillId="2" borderId="1" xfId="0" applyNumberFormat="1" applyFont="1" applyFill="1" applyBorder="1" applyAlignment="1">
      <alignment horizontal="center" vertical="top" wrapText="1"/>
    </xf>
    <xf numFmtId="165" fontId="15" fillId="0" borderId="1" xfId="0" applyNumberFormat="1" applyFont="1" applyBorder="1" applyAlignment="1">
      <alignment horizontal="center" vertical="top" wrapText="1"/>
    </xf>
    <xf numFmtId="0" fontId="10" fillId="2" borderId="0" xfId="0" applyFont="1" applyFill="1" applyAlignment="1">
      <alignment horizontal="center"/>
    </xf>
    <xf numFmtId="0" fontId="10" fillId="2" borderId="0" xfId="0" applyFont="1" applyFill="1" applyAlignment="1"/>
    <xf numFmtId="0" fontId="12" fillId="2" borderId="0" xfId="0" applyFont="1" applyFill="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1" xfId="0" applyFont="1" applyFill="1" applyBorder="1" applyAlignment="1">
      <alignment horizontal="center"/>
    </xf>
    <xf numFmtId="3" fontId="11" fillId="2" borderId="0" xfId="0" applyNumberFormat="1" applyFont="1" applyFill="1"/>
    <xf numFmtId="0" fontId="11" fillId="2" borderId="2" xfId="0" applyFont="1" applyFill="1" applyBorder="1" applyAlignment="1">
      <alignment horizontal="center" vertical="center" wrapText="1"/>
    </xf>
    <xf numFmtId="0" fontId="11" fillId="2" borderId="2" xfId="0" applyFont="1" applyFill="1" applyBorder="1" applyAlignment="1">
      <alignment vertical="center" wrapText="1"/>
    </xf>
    <xf numFmtId="0" fontId="11" fillId="2" borderId="1" xfId="0" applyFont="1" applyFill="1" applyBorder="1" applyAlignment="1">
      <alignment horizontal="center" vertical="center" wrapText="1"/>
    </xf>
    <xf numFmtId="3" fontId="15" fillId="2" borderId="1" xfId="0" applyNumberFormat="1" applyFont="1" applyFill="1" applyBorder="1" applyAlignment="1">
      <alignment horizontal="center" vertical="center" wrapText="1"/>
    </xf>
    <xf numFmtId="2" fontId="15" fillId="2" borderId="1" xfId="0" applyNumberFormat="1" applyFont="1" applyFill="1" applyBorder="1" applyAlignment="1">
      <alignment horizontal="center" vertical="center"/>
    </xf>
    <xf numFmtId="164" fontId="15" fillId="2" borderId="1" xfId="0" applyNumberFormat="1" applyFont="1" applyFill="1" applyBorder="1" applyAlignment="1">
      <alignment horizontal="center" vertical="center"/>
    </xf>
    <xf numFmtId="0" fontId="11" fillId="2" borderId="3" xfId="0" applyFont="1" applyFill="1" applyBorder="1" applyAlignment="1">
      <alignment horizontal="center" vertical="top" wrapText="1"/>
    </xf>
    <xf numFmtId="0" fontId="11" fillId="2" borderId="1" xfId="0" applyFont="1" applyFill="1" applyBorder="1" applyAlignment="1">
      <alignment horizontal="center" vertical="center"/>
    </xf>
    <xf numFmtId="0" fontId="11" fillId="2" borderId="1" xfId="0" applyFont="1" applyFill="1" applyBorder="1" applyAlignment="1">
      <alignment horizontal="center"/>
    </xf>
    <xf numFmtId="0" fontId="11" fillId="2" borderId="4" xfId="0" applyFont="1" applyFill="1" applyBorder="1" applyAlignment="1">
      <alignment vertical="center" wrapText="1"/>
    </xf>
    <xf numFmtId="0" fontId="11" fillId="2" borderId="2" xfId="0" applyFont="1" applyFill="1" applyBorder="1"/>
    <xf numFmtId="0" fontId="2" fillId="2" borderId="0" xfId="0" applyFont="1" applyFill="1" applyAlignment="1">
      <alignment horizontal="center"/>
    </xf>
    <xf numFmtId="0" fontId="2" fillId="2" borderId="0" xfId="0" applyFont="1" applyFill="1" applyAlignment="1"/>
    <xf numFmtId="0" fontId="0" fillId="2" borderId="0" xfId="0" applyFill="1"/>
    <xf numFmtId="0" fontId="1" fillId="2" borderId="0" xfId="0" applyFont="1" applyFill="1" applyAlignment="1">
      <alignment horizont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 xfId="0" applyFont="1" applyFill="1" applyBorder="1" applyAlignment="1">
      <alignment horizontal="center"/>
    </xf>
    <xf numFmtId="0" fontId="1" fillId="2" borderId="3" xfId="0" applyFont="1" applyFill="1" applyBorder="1" applyAlignment="1">
      <alignment horizontal="center" vertical="top" wrapText="1"/>
    </xf>
    <xf numFmtId="0" fontId="1" fillId="2" borderId="3" xfId="0" applyFont="1" applyFill="1" applyBorder="1" applyAlignment="1">
      <alignment vertical="top" wrapText="1"/>
    </xf>
    <xf numFmtId="0" fontId="0" fillId="2" borderId="3" xfId="0" applyFill="1" applyBorder="1"/>
    <xf numFmtId="0" fontId="0" fillId="2" borderId="1" xfId="0" applyFont="1" applyFill="1" applyBorder="1" applyAlignment="1">
      <alignment vertical="top" wrapText="1"/>
    </xf>
    <xf numFmtId="0" fontId="0" fillId="2" borderId="0" xfId="0" applyFill="1" applyAlignment="1">
      <alignment horizontal="center" vertical="top" wrapText="1"/>
    </xf>
    <xf numFmtId="3" fontId="0" fillId="2" borderId="1" xfId="0" applyNumberFormat="1" applyFill="1" applyBorder="1" applyAlignment="1">
      <alignment horizontal="center" vertical="top" wrapText="1"/>
    </xf>
    <xf numFmtId="0" fontId="3" fillId="2" borderId="1" xfId="0" applyFont="1" applyFill="1" applyBorder="1" applyAlignment="1">
      <alignment vertical="top" wrapText="1"/>
    </xf>
    <xf numFmtId="3" fontId="0" fillId="2" borderId="0" xfId="0" applyNumberFormat="1" applyFill="1"/>
    <xf numFmtId="0" fontId="1" fillId="2" borderId="1" xfId="0" applyFont="1" applyFill="1" applyBorder="1" applyAlignment="1">
      <alignment vertical="top" wrapText="1"/>
    </xf>
    <xf numFmtId="0" fontId="0" fillId="2" borderId="0" xfId="0" applyFill="1" applyBorder="1" applyAlignment="1">
      <alignment horizontal="center" vertical="top" wrapText="1"/>
    </xf>
    <xf numFmtId="1" fontId="0" fillId="2" borderId="0" xfId="0" applyNumberFormat="1" applyFill="1"/>
    <xf numFmtId="164" fontId="0" fillId="2" borderId="1" xfId="0" applyNumberForma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vertical="top" wrapText="1"/>
    </xf>
    <xf numFmtId="0" fontId="3" fillId="2" borderId="1" xfId="0" applyFont="1" applyFill="1" applyBorder="1"/>
    <xf numFmtId="164" fontId="3" fillId="2" borderId="1" xfId="0" applyNumberFormat="1" applyFont="1" applyFill="1" applyBorder="1" applyAlignment="1">
      <alignment horizontal="center" vertical="top" wrapText="1"/>
    </xf>
    <xf numFmtId="0" fontId="3" fillId="2" borderId="1" xfId="0" applyFont="1" applyFill="1" applyBorder="1" applyAlignment="1">
      <alignment horizontal="justify" vertical="top" wrapText="1"/>
    </xf>
    <xf numFmtId="1" fontId="3" fillId="2" borderId="1" xfId="0" applyNumberFormat="1" applyFont="1" applyFill="1" applyBorder="1" applyAlignment="1">
      <alignment horizontal="center" vertical="top" wrapText="1"/>
    </xf>
    <xf numFmtId="0" fontId="17" fillId="2" borderId="0" xfId="0" applyFont="1" applyFill="1" applyAlignment="1">
      <alignment horizontal="center" vertical="top" wrapText="1"/>
    </xf>
    <xf numFmtId="0" fontId="1" fillId="2" borderId="0" xfId="0" applyFont="1" applyFill="1" applyBorder="1" applyAlignment="1">
      <alignment horizontal="center"/>
    </xf>
    <xf numFmtId="0" fontId="0" fillId="2" borderId="2" xfId="0" applyFont="1" applyFill="1" applyBorder="1" applyAlignment="1">
      <alignment vertical="top" wrapText="1"/>
    </xf>
    <xf numFmtId="14" fontId="0" fillId="2" borderId="1" xfId="0" applyNumberFormat="1" applyFill="1" applyBorder="1" applyAlignment="1">
      <alignment horizontal="center" vertical="top" wrapText="1"/>
    </xf>
    <xf numFmtId="0" fontId="12" fillId="2" borderId="5" xfId="0" applyFont="1" applyFill="1" applyBorder="1" applyAlignment="1">
      <alignment horizontal="center" vertical="center" wrapText="1"/>
    </xf>
    <xf numFmtId="0" fontId="11" fillId="2" borderId="5" xfId="0" applyFont="1" applyFill="1" applyBorder="1"/>
    <xf numFmtId="2" fontId="11" fillId="2" borderId="5" xfId="0" applyNumberFormat="1" applyFont="1" applyFill="1" applyBorder="1" applyAlignment="1">
      <alignment horizontal="center" vertical="top" wrapText="1"/>
    </xf>
    <xf numFmtId="3" fontId="11" fillId="2" borderId="5" xfId="0" applyNumberFormat="1" applyFont="1" applyFill="1" applyBorder="1" applyAlignment="1">
      <alignment horizontal="center" vertical="top" wrapText="1"/>
    </xf>
    <xf numFmtId="1" fontId="11" fillId="2" borderId="5" xfId="0" applyNumberFormat="1" applyFont="1" applyFill="1" applyBorder="1" applyAlignment="1">
      <alignment horizontal="center" vertical="top" wrapText="1"/>
    </xf>
    <xf numFmtId="1" fontId="14" fillId="2" borderId="5" xfId="0" applyNumberFormat="1" applyFont="1" applyFill="1" applyBorder="1" applyAlignment="1">
      <alignment horizontal="center" vertical="top" wrapText="1"/>
    </xf>
    <xf numFmtId="1" fontId="15" fillId="2" borderId="5" xfId="0" applyNumberFormat="1" applyFont="1" applyFill="1" applyBorder="1" applyAlignment="1">
      <alignment horizontal="center" vertical="top" wrapText="1"/>
    </xf>
    <xf numFmtId="164" fontId="14" fillId="2" borderId="5" xfId="0" applyNumberFormat="1" applyFont="1" applyFill="1" applyBorder="1" applyAlignment="1">
      <alignment horizontal="center" vertical="top" wrapText="1"/>
    </xf>
    <xf numFmtId="2" fontId="14" fillId="2" borderId="5" xfId="0" applyNumberFormat="1" applyFont="1" applyFill="1" applyBorder="1" applyAlignment="1">
      <alignment horizontal="center" vertical="top" wrapText="1"/>
    </xf>
    <xf numFmtId="2" fontId="15" fillId="2" borderId="5" xfId="0" applyNumberFormat="1" applyFont="1" applyFill="1" applyBorder="1" applyAlignment="1">
      <alignment horizontal="center" vertical="top" wrapText="1"/>
    </xf>
    <xf numFmtId="3" fontId="15" fillId="2" borderId="5" xfId="0" applyNumberFormat="1" applyFont="1" applyFill="1" applyBorder="1" applyAlignment="1">
      <alignment horizontal="center" vertical="center" wrapText="1"/>
    </xf>
    <xf numFmtId="2" fontId="15" fillId="2" borderId="5" xfId="0" applyNumberFormat="1" applyFont="1" applyFill="1" applyBorder="1" applyAlignment="1">
      <alignment horizontal="center" vertical="center"/>
    </xf>
    <xf numFmtId="164" fontId="11" fillId="2" borderId="5" xfId="0" applyNumberFormat="1" applyFont="1" applyFill="1" applyBorder="1" applyAlignment="1">
      <alignment horizontal="center" vertical="top" wrapText="1"/>
    </xf>
    <xf numFmtId="164" fontId="15" fillId="2" borderId="5" xfId="0" applyNumberFormat="1" applyFont="1" applyFill="1" applyBorder="1" applyAlignment="1">
      <alignment horizontal="center" vertical="top" wrapText="1"/>
    </xf>
    <xf numFmtId="3" fontId="15" fillId="2" borderId="5" xfId="0" applyNumberFormat="1" applyFont="1" applyFill="1" applyBorder="1" applyAlignment="1">
      <alignment horizontal="center" vertical="top" wrapText="1"/>
    </xf>
    <xf numFmtId="0" fontId="15" fillId="2" borderId="5" xfId="0" applyFont="1" applyFill="1" applyBorder="1"/>
    <xf numFmtId="0" fontId="11" fillId="2" borderId="5" xfId="0" applyFont="1" applyFill="1" applyBorder="1" applyAlignment="1">
      <alignment horizontal="center" vertical="top" wrapText="1"/>
    </xf>
    <xf numFmtId="0" fontId="16" fillId="0" borderId="5" xfId="0" applyFont="1" applyBorder="1" applyAlignment="1">
      <alignment horizontal="center" vertical="center" wrapText="1"/>
    </xf>
    <xf numFmtId="0" fontId="15" fillId="0" borderId="5" xfId="0" applyFont="1" applyFill="1" applyBorder="1"/>
    <xf numFmtId="2" fontId="15" fillId="2" borderId="5" xfId="0" applyNumberFormat="1" applyFont="1" applyFill="1" applyBorder="1" applyAlignment="1">
      <alignment horizontal="center" vertical="center" wrapText="1"/>
    </xf>
    <xf numFmtId="2" fontId="15" fillId="0" borderId="5" xfId="0" applyNumberFormat="1" applyFont="1" applyFill="1" applyBorder="1" applyAlignment="1">
      <alignment horizontal="center" vertical="center" wrapText="1"/>
    </xf>
    <xf numFmtId="3" fontId="15" fillId="0" borderId="5" xfId="0" applyNumberFormat="1" applyFont="1" applyBorder="1" applyAlignment="1">
      <alignment horizontal="center" vertical="top" wrapText="1"/>
    </xf>
    <xf numFmtId="3" fontId="15" fillId="0" borderId="5" xfId="0" applyNumberFormat="1" applyFont="1" applyFill="1" applyBorder="1" applyAlignment="1">
      <alignment horizontal="center" vertical="top" wrapText="1"/>
    </xf>
    <xf numFmtId="1" fontId="15" fillId="0" borderId="5" xfId="0" applyNumberFormat="1" applyFont="1" applyFill="1" applyBorder="1" applyAlignment="1">
      <alignment horizontal="center" vertical="top" wrapText="1"/>
    </xf>
    <xf numFmtId="2" fontId="15" fillId="0" borderId="5" xfId="0" applyNumberFormat="1" applyFont="1" applyFill="1" applyBorder="1" applyAlignment="1">
      <alignment horizontal="center" vertical="top" wrapText="1"/>
    </xf>
    <xf numFmtId="1" fontId="15" fillId="0" borderId="5" xfId="0" applyNumberFormat="1" applyFont="1" applyBorder="1" applyAlignment="1">
      <alignment horizontal="center" vertical="top" wrapText="1"/>
    </xf>
    <xf numFmtId="165" fontId="15" fillId="2" borderId="5" xfId="0" applyNumberFormat="1" applyFont="1" applyFill="1" applyBorder="1" applyAlignment="1">
      <alignment horizontal="center" vertical="top" wrapText="1"/>
    </xf>
    <xf numFmtId="165" fontId="15" fillId="0" borderId="5" xfId="0" applyNumberFormat="1" applyFont="1" applyBorder="1" applyAlignment="1">
      <alignment horizontal="center" vertical="top" wrapText="1"/>
    </xf>
    <xf numFmtId="0" fontId="1" fillId="2" borderId="5" xfId="0" applyFont="1" applyFill="1" applyBorder="1" applyAlignment="1">
      <alignment horizontal="center" vertical="center" wrapText="1"/>
    </xf>
    <xf numFmtId="0" fontId="0" fillId="2" borderId="9" xfId="0" applyFill="1" applyBorder="1"/>
    <xf numFmtId="2" fontId="0" fillId="2" borderId="5" xfId="0" applyNumberFormat="1" applyFill="1" applyBorder="1" applyAlignment="1">
      <alignment horizontal="center" vertical="top" wrapText="1"/>
    </xf>
    <xf numFmtId="3" fontId="0" fillId="2" borderId="5" xfId="0" applyNumberFormat="1" applyFill="1" applyBorder="1" applyAlignment="1">
      <alignment horizontal="center" vertical="top" wrapText="1"/>
    </xf>
    <xf numFmtId="3" fontId="4" fillId="2" borderId="5" xfId="0" applyNumberFormat="1" applyFont="1" applyFill="1" applyBorder="1" applyAlignment="1">
      <alignment horizontal="center" vertical="top" wrapText="1"/>
    </xf>
    <xf numFmtId="1" fontId="0" fillId="2" borderId="5" xfId="0" applyNumberFormat="1" applyFill="1" applyBorder="1" applyAlignment="1">
      <alignment horizontal="center" vertical="top" wrapText="1"/>
    </xf>
    <xf numFmtId="0" fontId="17" fillId="2" borderId="5" xfId="0" applyFont="1" applyFill="1" applyBorder="1"/>
    <xf numFmtId="2" fontId="17" fillId="2" borderId="5" xfId="0" applyNumberFormat="1" applyFont="1" applyFill="1" applyBorder="1" applyAlignment="1">
      <alignment horizontal="center" vertical="top" wrapText="1"/>
    </xf>
    <xf numFmtId="3" fontId="17" fillId="2" borderId="5" xfId="0" applyNumberFormat="1" applyFont="1" applyFill="1" applyBorder="1" applyAlignment="1">
      <alignment horizontal="center" vertical="top" wrapText="1"/>
    </xf>
    <xf numFmtId="1" fontId="17" fillId="2" borderId="5" xfId="0" applyNumberFormat="1" applyFont="1" applyFill="1" applyBorder="1" applyAlignment="1">
      <alignment horizontal="center" vertical="top" wrapText="1"/>
    </xf>
    <xf numFmtId="0" fontId="0" fillId="2" borderId="5" xfId="0" applyFill="1" applyBorder="1"/>
    <xf numFmtId="164" fontId="0" fillId="2" borderId="5" xfId="0" applyNumberFormat="1" applyFill="1" applyBorder="1" applyAlignment="1">
      <alignment horizontal="center" vertical="top" wrapText="1"/>
    </xf>
    <xf numFmtId="0" fontId="3" fillId="2" borderId="5" xfId="0" applyFont="1" applyFill="1" applyBorder="1"/>
    <xf numFmtId="164" fontId="3" fillId="2" borderId="5" xfId="0" applyNumberFormat="1" applyFont="1" applyFill="1" applyBorder="1" applyAlignment="1">
      <alignment horizontal="center" vertical="top" wrapText="1"/>
    </xf>
    <xf numFmtId="1" fontId="3" fillId="2" borderId="5" xfId="0" applyNumberFormat="1" applyFont="1" applyFill="1" applyBorder="1" applyAlignment="1">
      <alignment horizontal="center" vertical="top" wrapText="1"/>
    </xf>
    <xf numFmtId="164" fontId="3" fillId="3" borderId="0" xfId="0" applyNumberFormat="1" applyFont="1" applyFill="1" applyBorder="1" applyAlignment="1">
      <alignment horizontal="center" vertical="top" wrapText="1"/>
    </xf>
    <xf numFmtId="164" fontId="0" fillId="3" borderId="0" xfId="0" applyNumberFormat="1" applyFill="1" applyBorder="1" applyAlignment="1">
      <alignment horizontal="center" vertical="top" wrapText="1"/>
    </xf>
    <xf numFmtId="0" fontId="3" fillId="3" borderId="0" xfId="0" applyFont="1" applyFill="1" applyBorder="1"/>
    <xf numFmtId="1" fontId="3" fillId="0" borderId="0" xfId="0" applyNumberFormat="1" applyFont="1" applyBorder="1" applyAlignment="1">
      <alignment horizontal="center" vertical="top" wrapText="1"/>
    </xf>
    <xf numFmtId="0" fontId="0" fillId="3" borderId="0" xfId="0" applyFill="1" applyBorder="1" applyAlignment="1">
      <alignment horizontal="center"/>
    </xf>
    <xf numFmtId="2" fontId="0" fillId="3" borderId="0" xfId="0" applyNumberFormat="1" applyFill="1" applyBorder="1" applyAlignment="1">
      <alignment horizontal="center"/>
    </xf>
    <xf numFmtId="0" fontId="3" fillId="3" borderId="0" xfId="0" applyFont="1" applyFill="1" applyBorder="1" applyAlignment="1">
      <alignment horizontal="center"/>
    </xf>
    <xf numFmtId="0" fontId="1" fillId="0" borderId="5" xfId="0" applyFont="1" applyBorder="1" applyAlignment="1">
      <alignment horizontal="center" vertical="center" wrapText="1"/>
    </xf>
    <xf numFmtId="0" fontId="4" fillId="3" borderId="5" xfId="0" applyFont="1" applyFill="1" applyBorder="1"/>
    <xf numFmtId="2" fontId="4" fillId="3" borderId="5" xfId="0" applyNumberFormat="1" applyFont="1" applyFill="1" applyBorder="1" applyAlignment="1">
      <alignment horizontal="center" vertical="top" wrapText="1"/>
    </xf>
    <xf numFmtId="0" fontId="0" fillId="0" borderId="5" xfId="0" applyBorder="1" applyAlignment="1">
      <alignment horizontal="center" vertical="top" wrapText="1"/>
    </xf>
    <xf numFmtId="164" fontId="3" fillId="3" borderId="5" xfId="0" applyNumberFormat="1" applyFont="1" applyFill="1" applyBorder="1" applyAlignment="1">
      <alignment horizontal="center" vertical="top" wrapText="1"/>
    </xf>
    <xf numFmtId="164" fontId="3" fillId="0" borderId="5" xfId="0" applyNumberFormat="1" applyFont="1" applyBorder="1" applyAlignment="1">
      <alignment horizontal="center" vertical="top" wrapText="1"/>
    </xf>
    <xf numFmtId="0" fontId="3" fillId="0" borderId="5" xfId="0" applyFont="1" applyBorder="1" applyAlignment="1">
      <alignment horizontal="center" vertical="top" wrapText="1"/>
    </xf>
    <xf numFmtId="164" fontId="0" fillId="3" borderId="5" xfId="0" applyNumberFormat="1" applyFill="1" applyBorder="1" applyAlignment="1">
      <alignment horizontal="center" vertical="top" wrapText="1"/>
    </xf>
    <xf numFmtId="2" fontId="0" fillId="3" borderId="5" xfId="0" applyNumberFormat="1" applyFill="1" applyBorder="1" applyAlignment="1">
      <alignment horizontal="center" vertical="top" wrapText="1"/>
    </xf>
    <xf numFmtId="0" fontId="0" fillId="3" borderId="5" xfId="0" applyFill="1" applyBorder="1" applyAlignment="1">
      <alignment horizontal="center" vertical="top" wrapText="1"/>
    </xf>
    <xf numFmtId="0" fontId="3" fillId="3" borderId="5" xfId="0" applyFont="1" applyFill="1" applyBorder="1"/>
    <xf numFmtId="1" fontId="3" fillId="3" borderId="5" xfId="0" applyNumberFormat="1" applyFont="1" applyFill="1" applyBorder="1" applyAlignment="1">
      <alignment horizontal="center" vertical="top" wrapText="1"/>
    </xf>
    <xf numFmtId="1" fontId="3" fillId="0" borderId="5" xfId="0" applyNumberFormat="1" applyFont="1" applyBorder="1" applyAlignment="1">
      <alignment horizontal="center" vertical="top" wrapText="1"/>
    </xf>
    <xf numFmtId="1" fontId="0" fillId="0" borderId="5" xfId="0" applyNumberFormat="1" applyBorder="1" applyAlignment="1">
      <alignment horizontal="center" vertical="top" wrapText="1"/>
    </xf>
    <xf numFmtId="0" fontId="0" fillId="3" borderId="5" xfId="0" applyFill="1" applyBorder="1"/>
    <xf numFmtId="3" fontId="0" fillId="0" borderId="5" xfId="0" applyNumberFormat="1" applyBorder="1" applyAlignment="1">
      <alignment horizontal="center" vertical="top" wrapText="1"/>
    </xf>
    <xf numFmtId="1" fontId="11" fillId="5" borderId="1" xfId="0" applyNumberFormat="1" applyFont="1" applyFill="1" applyBorder="1" applyAlignment="1">
      <alignment horizontal="center" vertical="top" wrapText="1"/>
    </xf>
    <xf numFmtId="3" fontId="15" fillId="5" borderId="1" xfId="0" applyNumberFormat="1" applyFont="1" applyFill="1" applyBorder="1" applyAlignment="1">
      <alignment horizontal="center" vertical="top" wrapText="1"/>
    </xf>
    <xf numFmtId="0" fontId="15" fillId="0" borderId="1" xfId="0" applyFont="1" applyFill="1" applyBorder="1" applyAlignment="1">
      <alignment horizontal="justify" vertical="top" wrapText="1"/>
    </xf>
    <xf numFmtId="0" fontId="1" fillId="0" borderId="1" xfId="0" applyFont="1" applyBorder="1" applyAlignment="1">
      <alignment horizontal="center"/>
    </xf>
    <xf numFmtId="0" fontId="2" fillId="0" borderId="0" xfId="0" applyFont="1" applyAlignment="1">
      <alignment horizontal="center"/>
    </xf>
    <xf numFmtId="0" fontId="1" fillId="0" borderId="1" xfId="0" applyFont="1" applyBorder="1" applyAlignment="1">
      <alignment horizontal="center" wrapText="1"/>
    </xf>
    <xf numFmtId="164" fontId="0" fillId="2" borderId="1" xfId="0" applyNumberFormat="1" applyFill="1" applyBorder="1" applyAlignment="1" applyProtection="1">
      <alignment horizontal="center" vertical="top" wrapText="1"/>
      <protection hidden="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6" fillId="0" borderId="1" xfId="0" applyFont="1" applyBorder="1" applyAlignment="1">
      <alignment horizontal="center"/>
    </xf>
    <xf numFmtId="0" fontId="16" fillId="0" borderId="5" xfId="0" applyFont="1" applyBorder="1" applyAlignment="1">
      <alignment horizontal="center"/>
    </xf>
    <xf numFmtId="0" fontId="16" fillId="0" borderId="6" xfId="0" applyFont="1" applyBorder="1" applyAlignment="1">
      <alignment horizontal="center"/>
    </xf>
    <xf numFmtId="0" fontId="19" fillId="0" borderId="0" xfId="0" applyFont="1" applyAlignment="1">
      <alignment horizontal="center"/>
    </xf>
    <xf numFmtId="0" fontId="15" fillId="2" borderId="2" xfId="0" applyFont="1" applyFill="1" applyBorder="1" applyAlignment="1">
      <alignment horizontal="center"/>
    </xf>
    <xf numFmtId="0" fontId="15" fillId="2" borderId="4" xfId="0" applyFont="1" applyFill="1" applyBorder="1" applyAlignment="1">
      <alignment horizontal="center"/>
    </xf>
    <xf numFmtId="0" fontId="15" fillId="2" borderId="3" xfId="0" applyFont="1" applyFill="1" applyBorder="1" applyAlignment="1">
      <alignment horizontal="center"/>
    </xf>
    <xf numFmtId="0" fontId="15" fillId="2" borderId="2"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10" fillId="2" borderId="0" xfId="0" applyFont="1" applyFill="1" applyAlignment="1">
      <alignment horizontal="center"/>
    </xf>
    <xf numFmtId="0" fontId="11" fillId="2" borderId="2" xfId="0" applyFont="1" applyFill="1" applyBorder="1" applyAlignment="1">
      <alignment horizontal="center"/>
    </xf>
    <xf numFmtId="0" fontId="11" fillId="2" borderId="4" xfId="0" applyFont="1" applyFill="1" applyBorder="1" applyAlignment="1">
      <alignment horizontal="center"/>
    </xf>
    <xf numFmtId="0" fontId="11" fillId="2" borderId="3" xfId="0" applyFont="1" applyFill="1" applyBorder="1" applyAlignment="1">
      <alignment horizontal="center"/>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top" wrapText="1"/>
    </xf>
    <xf numFmtId="0" fontId="11" fillId="2" borderId="4" xfId="0" applyFont="1" applyFill="1" applyBorder="1" applyAlignment="1">
      <alignment horizontal="center" vertical="top" wrapText="1"/>
    </xf>
    <xf numFmtId="0" fontId="11" fillId="2" borderId="3" xfId="0" applyFont="1" applyFill="1" applyBorder="1" applyAlignment="1">
      <alignment horizontal="center" vertical="top" wrapText="1"/>
    </xf>
    <xf numFmtId="0" fontId="11" fillId="2" borderId="1" xfId="0" applyFont="1" applyFill="1" applyBorder="1" applyAlignment="1">
      <alignment horizontal="center"/>
    </xf>
    <xf numFmtId="0" fontId="11" fillId="2" borderId="2"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3" xfId="0" applyFont="1" applyFill="1" applyBorder="1" applyAlignment="1">
      <alignment horizontal="left" vertical="top" wrapText="1"/>
    </xf>
    <xf numFmtId="0" fontId="12" fillId="2" borderId="7" xfId="0" applyFont="1" applyFill="1" applyBorder="1" applyAlignment="1">
      <alignment horizontal="center"/>
    </xf>
    <xf numFmtId="0" fontId="12" fillId="2" borderId="8" xfId="0" applyFont="1" applyFill="1" applyBorder="1" applyAlignment="1">
      <alignment horizontal="center"/>
    </xf>
    <xf numFmtId="0" fontId="12" fillId="2" borderId="1" xfId="0" applyFont="1" applyFill="1" applyBorder="1" applyAlignment="1">
      <alignment horizontal="center"/>
    </xf>
    <xf numFmtId="0" fontId="12" fillId="2" borderId="5" xfId="0" applyFont="1" applyFill="1" applyBorder="1" applyAlignment="1">
      <alignment horizontal="center"/>
    </xf>
    <xf numFmtId="0" fontId="15" fillId="2" borderId="2" xfId="0" applyFont="1" applyFill="1" applyBorder="1" applyAlignment="1">
      <alignment horizontal="left" vertical="top" wrapText="1"/>
    </xf>
    <xf numFmtId="0" fontId="15" fillId="2" borderId="3" xfId="0" applyFont="1" applyFill="1" applyBorder="1" applyAlignment="1">
      <alignment horizontal="left" vertical="top" wrapText="1"/>
    </xf>
    <xf numFmtId="0" fontId="11" fillId="2" borderId="2" xfId="0" applyFont="1" applyFill="1" applyBorder="1" applyAlignment="1">
      <alignment horizontal="left" wrapText="1"/>
    </xf>
    <xf numFmtId="0" fontId="11" fillId="2" borderId="4" xfId="0" applyFont="1" applyFill="1" applyBorder="1" applyAlignment="1">
      <alignment horizontal="left" wrapText="1"/>
    </xf>
    <xf numFmtId="0" fontId="0" fillId="2" borderId="2" xfId="0" applyFill="1" applyBorder="1" applyAlignment="1">
      <alignment horizontal="left" vertical="top" wrapText="1"/>
    </xf>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0" fillId="2" borderId="2" xfId="0" applyFill="1" applyBorder="1" applyAlignment="1">
      <alignment horizontal="center" vertical="top" wrapText="1"/>
    </xf>
    <xf numFmtId="0" fontId="0" fillId="2" borderId="4" xfId="0" applyFill="1" applyBorder="1" applyAlignment="1">
      <alignment horizontal="center" vertical="top" wrapText="1"/>
    </xf>
    <xf numFmtId="0" fontId="0" fillId="2" borderId="3" xfId="0" applyFill="1" applyBorder="1" applyAlignment="1">
      <alignment horizontal="center" vertical="top" wrapText="1"/>
    </xf>
    <xf numFmtId="0" fontId="1" fillId="0" borderId="1" xfId="0" applyFont="1" applyBorder="1" applyAlignment="1">
      <alignment horizontal="center"/>
    </xf>
    <xf numFmtId="0" fontId="2" fillId="0" borderId="0" xfId="0" applyFont="1" applyAlignment="1">
      <alignment horizontal="center"/>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4" xfId="0" applyFill="1" applyBorder="1" applyAlignment="1">
      <alignment horizontal="center" vertical="top" wrapText="1"/>
    </xf>
    <xf numFmtId="0" fontId="2" fillId="2" borderId="0" xfId="0" applyFont="1" applyFill="1" applyAlignment="1">
      <alignment horizontal="center"/>
    </xf>
    <xf numFmtId="0" fontId="1" fillId="2" borderId="1" xfId="0" applyFont="1" applyFill="1" applyBorder="1" applyAlignment="1">
      <alignment horizontal="center"/>
    </xf>
    <xf numFmtId="0" fontId="1" fillId="0" borderId="1" xfId="0" applyFont="1" applyBorder="1" applyAlignment="1">
      <alignment horizontal="center" wrapText="1"/>
    </xf>
    <xf numFmtId="0" fontId="1" fillId="0" borderId="7" xfId="0" applyFont="1" applyBorder="1" applyAlignment="1">
      <alignment horizontal="center"/>
    </xf>
    <xf numFmtId="0" fontId="1" fillId="0" borderId="8"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cellXfs>
  <cellStyles count="4">
    <cellStyle name="Обычный" xfId="0" builtinId="0"/>
    <cellStyle name="Обычный 2" xfId="1"/>
    <cellStyle name="Обычный 3" xfId="2"/>
    <cellStyle name="Обычный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766"/>
  <sheetViews>
    <sheetView topLeftCell="A95" zoomScaleNormal="100" workbookViewId="0">
      <selection activeCell="H115" sqref="H115:I115"/>
    </sheetView>
  </sheetViews>
  <sheetFormatPr defaultRowHeight="15" x14ac:dyDescent="0.25"/>
  <cols>
    <col min="2" max="2" width="75.140625" customWidth="1"/>
    <col min="3" max="3" width="16.140625" customWidth="1"/>
    <col min="4" max="9" width="14" customWidth="1"/>
  </cols>
  <sheetData>
    <row r="3" spans="1:9" ht="18.75" x14ac:dyDescent="0.3">
      <c r="A3" s="140" t="s">
        <v>0</v>
      </c>
      <c r="B3" s="140"/>
      <c r="C3" s="140"/>
      <c r="D3" s="140"/>
      <c r="E3" s="140"/>
      <c r="F3" s="140"/>
      <c r="G3" s="386"/>
      <c r="H3" s="386"/>
      <c r="I3" s="386"/>
    </row>
    <row r="4" spans="1:9" ht="18.75" x14ac:dyDescent="0.3">
      <c r="A4" s="140" t="s">
        <v>1</v>
      </c>
      <c r="B4" s="140"/>
      <c r="C4" s="140"/>
      <c r="D4" s="140"/>
      <c r="E4" s="140"/>
      <c r="F4" s="140"/>
      <c r="G4" s="386"/>
      <c r="H4" s="386"/>
      <c r="I4" s="386"/>
    </row>
    <row r="5" spans="1:9" x14ac:dyDescent="0.25">
      <c r="A5" s="1"/>
      <c r="B5" s="1"/>
      <c r="C5" s="1"/>
      <c r="D5" s="1"/>
      <c r="E5" s="1"/>
      <c r="F5" s="1"/>
      <c r="G5" s="1"/>
      <c r="H5" s="1"/>
      <c r="I5" s="1"/>
    </row>
    <row r="6" spans="1:9" ht="45" x14ac:dyDescent="0.25">
      <c r="A6" s="4" t="s">
        <v>6</v>
      </c>
      <c r="B6" s="4" t="s">
        <v>380</v>
      </c>
      <c r="C6" s="5" t="s">
        <v>11</v>
      </c>
      <c r="D6" s="5" t="s">
        <v>1494</v>
      </c>
      <c r="E6" s="5" t="s">
        <v>1495</v>
      </c>
      <c r="F6" s="5" t="s">
        <v>1516</v>
      </c>
      <c r="G6" s="5" t="s">
        <v>1583</v>
      </c>
      <c r="H6" s="5" t="s">
        <v>1584</v>
      </c>
      <c r="I6" s="5" t="s">
        <v>1743</v>
      </c>
    </row>
    <row r="7" spans="1:9" x14ac:dyDescent="0.25">
      <c r="A7" s="137" t="s">
        <v>3</v>
      </c>
      <c r="B7" s="137"/>
      <c r="C7" s="137"/>
      <c r="D7" s="137"/>
      <c r="E7" s="137"/>
      <c r="F7" s="137"/>
      <c r="G7" s="385"/>
      <c r="H7" s="385"/>
      <c r="I7" s="385"/>
    </row>
    <row r="8" spans="1:9" x14ac:dyDescent="0.25">
      <c r="A8" s="137" t="s">
        <v>4</v>
      </c>
      <c r="B8" s="137"/>
      <c r="C8" s="137"/>
      <c r="D8" s="137"/>
      <c r="E8" s="137"/>
      <c r="F8" s="137"/>
      <c r="G8" s="385"/>
      <c r="H8" s="385"/>
      <c r="I8" s="385"/>
    </row>
    <row r="9" spans="1:9" ht="30" x14ac:dyDescent="0.25">
      <c r="A9" s="9" t="s">
        <v>7</v>
      </c>
      <c r="B9" s="32" t="s">
        <v>5</v>
      </c>
      <c r="C9" s="7"/>
      <c r="D9" s="7"/>
      <c r="E9" s="7"/>
      <c r="F9" s="7"/>
      <c r="G9" s="7"/>
      <c r="H9" s="7"/>
      <c r="I9" s="7"/>
    </row>
    <row r="10" spans="1:9" ht="90" x14ac:dyDescent="0.25">
      <c r="A10" s="6" t="s">
        <v>2</v>
      </c>
      <c r="B10" s="33" t="s">
        <v>8</v>
      </c>
      <c r="C10" s="6" t="s">
        <v>9</v>
      </c>
      <c r="D10" s="65">
        <v>98.653395784543335</v>
      </c>
      <c r="E10" s="65">
        <v>100</v>
      </c>
      <c r="F10" s="65">
        <v>100</v>
      </c>
      <c r="G10" s="65">
        <v>100</v>
      </c>
      <c r="H10" s="65">
        <v>100</v>
      </c>
      <c r="I10" s="65">
        <v>100</v>
      </c>
    </row>
    <row r="11" spans="1:9" x14ac:dyDescent="0.25">
      <c r="A11" s="11"/>
      <c r="B11" s="64" t="s">
        <v>1353</v>
      </c>
      <c r="C11" s="11" t="s">
        <v>9</v>
      </c>
      <c r="D11" s="105">
        <v>97.702297702297699</v>
      </c>
      <c r="E11" s="105">
        <v>100</v>
      </c>
      <c r="F11" s="105">
        <v>100</v>
      </c>
      <c r="G11" s="105">
        <v>100</v>
      </c>
      <c r="H11" s="105">
        <v>100</v>
      </c>
      <c r="I11" s="105">
        <v>100</v>
      </c>
    </row>
    <row r="12" spans="1:9" x14ac:dyDescent="0.25">
      <c r="A12" s="11"/>
      <c r="B12" s="64" t="s">
        <v>1354</v>
      </c>
      <c r="C12" s="11" t="s">
        <v>9</v>
      </c>
      <c r="D12" s="105">
        <v>100</v>
      </c>
      <c r="E12" s="105">
        <v>100</v>
      </c>
      <c r="F12" s="105">
        <v>100</v>
      </c>
      <c r="G12" s="105">
        <v>100</v>
      </c>
      <c r="H12" s="105">
        <v>100</v>
      </c>
      <c r="I12" s="105">
        <v>100</v>
      </c>
    </row>
    <row r="13" spans="1:9" ht="75" x14ac:dyDescent="0.25">
      <c r="A13" s="6" t="s">
        <v>15</v>
      </c>
      <c r="B13" s="33" t="s">
        <v>14</v>
      </c>
      <c r="C13" s="6" t="s">
        <v>9</v>
      </c>
      <c r="D13" s="65">
        <v>63.229265216020181</v>
      </c>
      <c r="E13" s="65">
        <v>65.263819095477388</v>
      </c>
      <c r="F13" s="65">
        <v>69.146537842190014</v>
      </c>
      <c r="G13" s="242">
        <f>Дошкольное!H20</f>
        <v>66.241046402989724</v>
      </c>
      <c r="H13" s="242">
        <f>Дошкольное!I20</f>
        <v>65.740740740740748</v>
      </c>
      <c r="I13" s="242">
        <f>Дошкольное!J20</f>
        <v>65.377113133940185</v>
      </c>
    </row>
    <row r="14" spans="1:9" x14ac:dyDescent="0.25">
      <c r="A14" s="6"/>
      <c r="B14" s="33" t="s">
        <v>1353</v>
      </c>
      <c r="C14" s="6" t="s">
        <v>9</v>
      </c>
      <c r="D14" s="65">
        <v>70.05952380952381</v>
      </c>
      <c r="E14" s="65">
        <v>73.525872442839955</v>
      </c>
      <c r="F14" s="65">
        <v>76.875</v>
      </c>
      <c r="G14" s="110">
        <v>76.540000000000006</v>
      </c>
      <c r="H14" s="110">
        <v>75.08</v>
      </c>
      <c r="I14" s="110">
        <v>73.8</v>
      </c>
    </row>
    <row r="15" spans="1:9" x14ac:dyDescent="0.25">
      <c r="A15" s="6"/>
      <c r="B15" s="33" t="s">
        <v>1354</v>
      </c>
      <c r="C15" s="6" t="s">
        <v>9</v>
      </c>
      <c r="D15" s="65">
        <v>55.533199195171022</v>
      </c>
      <c r="E15" s="65">
        <v>56.241787122207619</v>
      </c>
      <c r="F15" s="65">
        <v>60.930232558139529</v>
      </c>
      <c r="G15" s="110">
        <v>62.43</v>
      </c>
      <c r="H15" s="110">
        <v>60.41</v>
      </c>
      <c r="I15" s="110">
        <v>61.5</v>
      </c>
    </row>
    <row r="16" spans="1:9" ht="45" x14ac:dyDescent="0.25">
      <c r="A16" s="6" t="s">
        <v>21</v>
      </c>
      <c r="B16" s="33" t="s">
        <v>20</v>
      </c>
      <c r="C16" s="6" t="s">
        <v>9</v>
      </c>
      <c r="D16" s="65">
        <v>0</v>
      </c>
      <c r="E16" s="65">
        <v>0</v>
      </c>
      <c r="F16" s="65">
        <v>0</v>
      </c>
      <c r="G16" s="65">
        <v>0</v>
      </c>
      <c r="H16" s="65">
        <v>0</v>
      </c>
      <c r="I16" s="65">
        <v>0</v>
      </c>
    </row>
    <row r="17" spans="1:9" ht="30" x14ac:dyDescent="0.25">
      <c r="A17" s="99" t="s">
        <v>26</v>
      </c>
      <c r="B17" s="100" t="s">
        <v>25</v>
      </c>
      <c r="C17" s="11"/>
      <c r="D17" s="93"/>
      <c r="E17" s="93"/>
      <c r="F17" s="93"/>
      <c r="G17" s="93"/>
      <c r="H17" s="93"/>
      <c r="I17" s="93"/>
    </row>
    <row r="18" spans="1:9" ht="45" x14ac:dyDescent="0.25">
      <c r="A18" s="11" t="s">
        <v>27</v>
      </c>
      <c r="B18" s="64" t="s">
        <v>32</v>
      </c>
      <c r="C18" s="11"/>
      <c r="D18" s="93"/>
      <c r="E18" s="93"/>
      <c r="F18" s="93"/>
      <c r="G18" s="93"/>
      <c r="H18" s="93"/>
      <c r="I18" s="93"/>
    </row>
    <row r="19" spans="1:9" x14ac:dyDescent="0.25">
      <c r="A19" s="11"/>
      <c r="B19" s="64" t="s">
        <v>1351</v>
      </c>
      <c r="C19" s="11" t="s">
        <v>9</v>
      </c>
      <c r="D19" s="105">
        <v>0</v>
      </c>
      <c r="E19" s="105">
        <v>0</v>
      </c>
      <c r="F19" s="105">
        <v>0</v>
      </c>
      <c r="G19" s="105">
        <v>0</v>
      </c>
      <c r="H19" s="105">
        <v>0</v>
      </c>
      <c r="I19" s="105">
        <v>0</v>
      </c>
    </row>
    <row r="20" spans="1:9" x14ac:dyDescent="0.25">
      <c r="A20" s="11"/>
      <c r="B20" s="64" t="s">
        <v>1353</v>
      </c>
      <c r="C20" s="11" t="s">
        <v>9</v>
      </c>
      <c r="D20" s="105">
        <v>0</v>
      </c>
      <c r="E20" s="105">
        <v>0</v>
      </c>
      <c r="F20" s="105">
        <v>0</v>
      </c>
      <c r="G20" s="105">
        <v>0</v>
      </c>
      <c r="H20" s="105">
        <v>0</v>
      </c>
      <c r="I20" s="105">
        <v>0</v>
      </c>
    </row>
    <row r="21" spans="1:9" x14ac:dyDescent="0.25">
      <c r="A21" s="11"/>
      <c r="B21" s="64" t="s">
        <v>1354</v>
      </c>
      <c r="C21" s="11" t="s">
        <v>9</v>
      </c>
      <c r="D21" s="105">
        <v>0</v>
      </c>
      <c r="E21" s="105">
        <v>0</v>
      </c>
      <c r="F21" s="105">
        <v>0</v>
      </c>
      <c r="G21" s="105">
        <v>0</v>
      </c>
      <c r="H21" s="105">
        <v>0</v>
      </c>
      <c r="I21" s="105">
        <v>0</v>
      </c>
    </row>
    <row r="22" spans="1:9" x14ac:dyDescent="0.25">
      <c r="A22" s="11"/>
      <c r="B22" s="64" t="s">
        <v>1352</v>
      </c>
      <c r="C22" s="11" t="s">
        <v>9</v>
      </c>
      <c r="D22" s="105" t="s">
        <v>1500</v>
      </c>
      <c r="E22" s="105" t="s">
        <v>1500</v>
      </c>
      <c r="F22" s="105" t="s">
        <v>1500</v>
      </c>
      <c r="G22" s="105" t="s">
        <v>1500</v>
      </c>
      <c r="H22" s="105" t="s">
        <v>1500</v>
      </c>
      <c r="I22" s="105" t="s">
        <v>1500</v>
      </c>
    </row>
    <row r="23" spans="1:9" x14ac:dyDescent="0.25">
      <c r="A23" s="11"/>
      <c r="B23" s="64" t="s">
        <v>1353</v>
      </c>
      <c r="C23" s="11" t="s">
        <v>9</v>
      </c>
      <c r="D23" s="105" t="s">
        <v>1500</v>
      </c>
      <c r="E23" s="105" t="s">
        <v>1500</v>
      </c>
      <c r="F23" s="105" t="s">
        <v>1500</v>
      </c>
      <c r="G23" s="105" t="s">
        <v>1500</v>
      </c>
      <c r="H23" s="105" t="s">
        <v>1500</v>
      </c>
      <c r="I23" s="105" t="s">
        <v>1500</v>
      </c>
    </row>
    <row r="24" spans="1:9" x14ac:dyDescent="0.25">
      <c r="A24" s="11"/>
      <c r="B24" s="64" t="s">
        <v>1354</v>
      </c>
      <c r="C24" s="11" t="s">
        <v>9</v>
      </c>
      <c r="D24" s="105" t="s">
        <v>1500</v>
      </c>
      <c r="E24" s="105" t="s">
        <v>1500</v>
      </c>
      <c r="F24" s="105" t="s">
        <v>1500</v>
      </c>
      <c r="G24" s="105" t="s">
        <v>1500</v>
      </c>
      <c r="H24" s="105" t="s">
        <v>1500</v>
      </c>
      <c r="I24" s="105" t="s">
        <v>1500</v>
      </c>
    </row>
    <row r="25" spans="1:9" ht="30" x14ac:dyDescent="0.25">
      <c r="A25" s="9" t="s">
        <v>30</v>
      </c>
      <c r="B25" s="32" t="s">
        <v>29</v>
      </c>
      <c r="C25" s="7"/>
      <c r="D25" s="62"/>
      <c r="E25" s="62"/>
      <c r="F25" s="62"/>
      <c r="G25" s="62"/>
      <c r="H25" s="62"/>
      <c r="I25" s="62"/>
    </row>
    <row r="26" spans="1:9" ht="30" x14ac:dyDescent="0.25">
      <c r="A26" s="6" t="s">
        <v>33</v>
      </c>
      <c r="B26" s="33" t="s">
        <v>31</v>
      </c>
      <c r="C26" s="6"/>
      <c r="D26" s="65"/>
      <c r="E26" s="65"/>
      <c r="F26" s="65"/>
      <c r="G26" s="65"/>
      <c r="H26" s="65"/>
      <c r="I26" s="65"/>
    </row>
    <row r="27" spans="1:9" x14ac:dyDescent="0.25">
      <c r="A27" s="11"/>
      <c r="B27" s="64" t="s">
        <v>1351</v>
      </c>
      <c r="C27" s="11" t="s">
        <v>1076</v>
      </c>
      <c r="D27" s="105">
        <v>8.5683760683760681</v>
      </c>
      <c r="E27" s="105">
        <v>8.995670995670995</v>
      </c>
      <c r="F27" s="105">
        <v>9.5</v>
      </c>
      <c r="G27" s="105">
        <f>Дошкольное!H47</f>
        <v>9.3539823008849563</v>
      </c>
      <c r="H27" s="105">
        <f>Дошкольное!I47</f>
        <v>9.2297297297297298</v>
      </c>
      <c r="I27" s="105">
        <f>Дошкольное!J47</f>
        <v>8.8982300884955752</v>
      </c>
    </row>
    <row r="28" spans="1:9" x14ac:dyDescent="0.25">
      <c r="A28" s="6"/>
      <c r="B28" s="33" t="s">
        <v>1353</v>
      </c>
      <c r="C28" s="6" t="s">
        <v>1076</v>
      </c>
      <c r="D28" s="65">
        <v>8.9847328244274802</v>
      </c>
      <c r="E28" s="65">
        <v>9.4728682170542644</v>
      </c>
      <c r="F28" s="65">
        <v>10</v>
      </c>
      <c r="G28" s="65">
        <f>Дошкольное!H48</f>
        <v>9.7804878048780495</v>
      </c>
      <c r="H28" s="65">
        <f>Дошкольное!I48</f>
        <v>9.4462809917355379</v>
      </c>
      <c r="I28" s="65">
        <f>Дошкольное!J48</f>
        <v>8.81</v>
      </c>
    </row>
    <row r="29" spans="1:9" x14ac:dyDescent="0.25">
      <c r="A29" s="6"/>
      <c r="B29" s="33" t="s">
        <v>1354</v>
      </c>
      <c r="C29" s="6" t="s">
        <v>1076</v>
      </c>
      <c r="D29" s="65">
        <v>8.0388349514563107</v>
      </c>
      <c r="E29" s="65">
        <v>8.3921568627450984</v>
      </c>
      <c r="F29" s="65">
        <v>8.9029126213592225</v>
      </c>
      <c r="G29" s="65">
        <f>Дошкольное!H49</f>
        <v>9.11</v>
      </c>
      <c r="H29" s="65">
        <f>Дошкольное!I49</f>
        <v>8.9702970297029712</v>
      </c>
      <c r="I29" s="65">
        <f>Дошкольное!J49</f>
        <v>9.01</v>
      </c>
    </row>
    <row r="30" spans="1:9" x14ac:dyDescent="0.25">
      <c r="A30" s="11"/>
      <c r="B30" s="64" t="s">
        <v>1352</v>
      </c>
      <c r="C30" s="11" t="s">
        <v>1076</v>
      </c>
      <c r="D30" s="105" t="s">
        <v>1500</v>
      </c>
      <c r="E30" s="105" t="s">
        <v>1500</v>
      </c>
      <c r="F30" s="105" t="s">
        <v>1500</v>
      </c>
      <c r="G30" s="105">
        <f>Дошкольное!H50</f>
        <v>13</v>
      </c>
      <c r="H30" s="105">
        <f>Дошкольное!I50</f>
        <v>10</v>
      </c>
      <c r="I30" s="105">
        <f>Дошкольное!J50</f>
        <v>11</v>
      </c>
    </row>
    <row r="31" spans="1:9" x14ac:dyDescent="0.25">
      <c r="A31" s="11"/>
      <c r="B31" s="64" t="s">
        <v>1353</v>
      </c>
      <c r="C31" s="11" t="s">
        <v>1076</v>
      </c>
      <c r="D31" s="105" t="s">
        <v>1500</v>
      </c>
      <c r="E31" s="105" t="s">
        <v>1500</v>
      </c>
      <c r="F31" s="105" t="s">
        <v>1500</v>
      </c>
      <c r="G31" s="105">
        <f>Дошкольное!H51</f>
        <v>13</v>
      </c>
      <c r="H31" s="105">
        <f>Дошкольное!I51</f>
        <v>10</v>
      </c>
      <c r="I31" s="105">
        <f>Дошкольное!J51</f>
        <v>11</v>
      </c>
    </row>
    <row r="32" spans="1:9" x14ac:dyDescent="0.25">
      <c r="A32" s="11"/>
      <c r="B32" s="64" t="s">
        <v>1354</v>
      </c>
      <c r="C32" s="11" t="s">
        <v>1076</v>
      </c>
      <c r="D32" s="105" t="s">
        <v>1500</v>
      </c>
      <c r="E32" s="105" t="s">
        <v>1500</v>
      </c>
      <c r="F32" s="105" t="s">
        <v>1500</v>
      </c>
      <c r="G32" s="105" t="s">
        <v>1500</v>
      </c>
      <c r="H32" s="105" t="s">
        <v>1500</v>
      </c>
      <c r="I32" s="105" t="s">
        <v>1500</v>
      </c>
    </row>
    <row r="33" spans="1:9" ht="60" x14ac:dyDescent="0.25">
      <c r="A33" s="72" t="s">
        <v>37</v>
      </c>
      <c r="B33" s="73" t="s">
        <v>36</v>
      </c>
      <c r="C33" s="72" t="s">
        <v>9</v>
      </c>
      <c r="D33" s="65" t="s">
        <v>1500</v>
      </c>
      <c r="E33" s="65">
        <v>85.180982101038609</v>
      </c>
      <c r="F33" s="65" t="s">
        <v>1500</v>
      </c>
      <c r="G33" s="65" t="s">
        <v>1500</v>
      </c>
      <c r="H33" s="65" t="s">
        <v>1500</v>
      </c>
      <c r="I33" s="65" t="s">
        <v>1500</v>
      </c>
    </row>
    <row r="34" spans="1:9" ht="30" x14ac:dyDescent="0.25">
      <c r="A34" s="9" t="s">
        <v>48</v>
      </c>
      <c r="B34" s="32" t="s">
        <v>47</v>
      </c>
      <c r="C34" s="6"/>
      <c r="D34" s="62"/>
      <c r="E34" s="62"/>
      <c r="F34" s="62"/>
      <c r="G34" s="62"/>
      <c r="H34" s="62"/>
      <c r="I34" s="62"/>
    </row>
    <row r="35" spans="1:9" ht="30" x14ac:dyDescent="0.25">
      <c r="A35" s="11" t="s">
        <v>50</v>
      </c>
      <c r="B35" s="64" t="s">
        <v>1514</v>
      </c>
      <c r="C35" s="11"/>
      <c r="D35" s="93"/>
      <c r="E35" s="93"/>
      <c r="F35" s="93"/>
      <c r="G35" s="93"/>
      <c r="H35" s="93"/>
      <c r="I35" s="93"/>
    </row>
    <row r="36" spans="1:9" ht="30" x14ac:dyDescent="0.25">
      <c r="A36" s="11"/>
      <c r="B36" s="64" t="s">
        <v>1351</v>
      </c>
      <c r="C36" s="11" t="s">
        <v>1267</v>
      </c>
      <c r="D36" s="93">
        <v>8.7955112219451372</v>
      </c>
      <c r="E36" s="93">
        <v>8.1963426371511066</v>
      </c>
      <c r="F36" s="93">
        <v>7.9180251513740103</v>
      </c>
      <c r="G36" s="93">
        <f>Дошкольное!H86</f>
        <v>8.0148060548722793</v>
      </c>
      <c r="H36" s="93">
        <f>Дошкольное!I86</f>
        <v>8.4839433870180567</v>
      </c>
      <c r="I36" s="93">
        <f>Дошкольное!J86</f>
        <v>9.8585778219791145</v>
      </c>
    </row>
    <row r="37" spans="1:9" ht="30" x14ac:dyDescent="0.25">
      <c r="A37" s="11"/>
      <c r="B37" s="64" t="s">
        <v>1353</v>
      </c>
      <c r="C37" s="11" t="s">
        <v>1267</v>
      </c>
      <c r="D37" s="93">
        <v>8.3271028037383186</v>
      </c>
      <c r="E37" s="93">
        <v>8.0204582651391156</v>
      </c>
      <c r="F37" s="93">
        <v>7.9422764227642277</v>
      </c>
      <c r="G37" s="93">
        <f>Дошкольное!H87</f>
        <v>8.1997506234413962</v>
      </c>
      <c r="H37" s="93">
        <f>Дошкольное!I87</f>
        <v>8.6301837270341206</v>
      </c>
      <c r="I37" s="93">
        <f>Дошкольное!J87</f>
        <v>8.7379803395889173</v>
      </c>
    </row>
    <row r="38" spans="1:9" ht="30" x14ac:dyDescent="0.25">
      <c r="A38" s="11"/>
      <c r="B38" s="64" t="s">
        <v>1354</v>
      </c>
      <c r="C38" s="11" t="s">
        <v>1267</v>
      </c>
      <c r="D38" s="93">
        <v>9.4613526570048307</v>
      </c>
      <c r="E38" s="93">
        <v>8.4474299065420553</v>
      </c>
      <c r="F38" s="93">
        <v>7.885496183206107</v>
      </c>
      <c r="G38" s="93">
        <f>Дошкольное!H88</f>
        <v>7.7705817782656421</v>
      </c>
      <c r="H38" s="93">
        <f>Дошкольное!I88</f>
        <v>8.2997792494481235</v>
      </c>
      <c r="I38" s="93">
        <f>Дошкольное!J88</f>
        <v>11.264349775784753</v>
      </c>
    </row>
    <row r="39" spans="1:9" ht="30" x14ac:dyDescent="0.25">
      <c r="A39" s="11"/>
      <c r="B39" s="64" t="s">
        <v>1352</v>
      </c>
      <c r="C39" s="11" t="s">
        <v>1267</v>
      </c>
      <c r="D39" s="93" t="s">
        <v>1500</v>
      </c>
      <c r="E39" s="93" t="s">
        <v>1500</v>
      </c>
      <c r="F39" s="93" t="s">
        <v>1500</v>
      </c>
      <c r="G39" s="93" t="s">
        <v>1500</v>
      </c>
      <c r="H39" s="93" t="s">
        <v>1500</v>
      </c>
      <c r="I39" s="93" t="s">
        <v>1500</v>
      </c>
    </row>
    <row r="40" spans="1:9" ht="30" x14ac:dyDescent="0.25">
      <c r="A40" s="11"/>
      <c r="B40" s="64" t="s">
        <v>1353</v>
      </c>
      <c r="C40" s="11" t="s">
        <v>1267</v>
      </c>
      <c r="D40" s="93" t="s">
        <v>1500</v>
      </c>
      <c r="E40" s="93" t="s">
        <v>1500</v>
      </c>
      <c r="F40" s="93" t="s">
        <v>1500</v>
      </c>
      <c r="G40" s="93" t="s">
        <v>1500</v>
      </c>
      <c r="H40" s="93" t="s">
        <v>1500</v>
      </c>
      <c r="I40" s="93" t="s">
        <v>1500</v>
      </c>
    </row>
    <row r="41" spans="1:9" ht="30" x14ac:dyDescent="0.25">
      <c r="A41" s="11"/>
      <c r="B41" s="64" t="s">
        <v>1354</v>
      </c>
      <c r="C41" s="11" t="s">
        <v>1267</v>
      </c>
      <c r="D41" s="93" t="s">
        <v>1500</v>
      </c>
      <c r="E41" s="93" t="s">
        <v>1500</v>
      </c>
      <c r="F41" s="93" t="s">
        <v>1500</v>
      </c>
      <c r="G41" s="93" t="s">
        <v>1500</v>
      </c>
      <c r="H41" s="93" t="s">
        <v>1500</v>
      </c>
      <c r="I41" s="93" t="s">
        <v>1500</v>
      </c>
    </row>
    <row r="42" spans="1:9" ht="45" x14ac:dyDescent="0.25">
      <c r="A42" s="6" t="s">
        <v>56</v>
      </c>
      <c r="B42" s="33" t="s">
        <v>66</v>
      </c>
      <c r="C42" s="6"/>
      <c r="D42" s="62"/>
      <c r="E42" s="62"/>
      <c r="F42" s="62"/>
      <c r="G42" s="62"/>
      <c r="H42" s="62"/>
      <c r="I42" s="62"/>
    </row>
    <row r="43" spans="1:9" x14ac:dyDescent="0.25">
      <c r="A43" s="6"/>
      <c r="B43" s="33" t="s">
        <v>1357</v>
      </c>
      <c r="C43" s="6" t="s">
        <v>9</v>
      </c>
      <c r="D43" s="65">
        <v>88.235294117647058</v>
      </c>
      <c r="E43" s="65">
        <v>100</v>
      </c>
      <c r="F43" s="65">
        <v>93.333333333333329</v>
      </c>
      <c r="G43" s="65">
        <f>Дошкольное!H113</f>
        <v>100</v>
      </c>
      <c r="H43" s="65">
        <f>Дошкольное!I113</f>
        <v>100</v>
      </c>
      <c r="I43" s="65">
        <f>Дошкольное!J113</f>
        <v>100</v>
      </c>
    </row>
    <row r="44" spans="1:9" x14ac:dyDescent="0.25">
      <c r="A44" s="6"/>
      <c r="B44" s="33" t="s">
        <v>1353</v>
      </c>
      <c r="C44" s="6" t="s">
        <v>9</v>
      </c>
      <c r="D44" s="65">
        <v>100</v>
      </c>
      <c r="E44" s="65">
        <v>100</v>
      </c>
      <c r="F44" s="65">
        <v>100</v>
      </c>
      <c r="G44" s="65">
        <f>Дошкольное!H114</f>
        <v>100</v>
      </c>
      <c r="H44" s="65">
        <f>Дошкольное!I114</f>
        <v>100</v>
      </c>
      <c r="I44" s="65">
        <f>Дошкольное!J114</f>
        <v>100</v>
      </c>
    </row>
    <row r="45" spans="1:9" x14ac:dyDescent="0.25">
      <c r="A45" s="6"/>
      <c r="B45" s="33" t="s">
        <v>1354</v>
      </c>
      <c r="C45" s="6" t="s">
        <v>9</v>
      </c>
      <c r="D45" s="65">
        <v>80</v>
      </c>
      <c r="E45" s="65">
        <v>100</v>
      </c>
      <c r="F45" s="65">
        <v>85.714285714285708</v>
      </c>
      <c r="G45" s="65">
        <f>Дошкольное!H115</f>
        <v>100</v>
      </c>
      <c r="H45" s="65">
        <f>Дошкольное!I115</f>
        <v>100</v>
      </c>
      <c r="I45" s="65">
        <f>Дошкольное!J115</f>
        <v>100</v>
      </c>
    </row>
    <row r="46" spans="1:9" x14ac:dyDescent="0.25">
      <c r="A46" s="6"/>
      <c r="B46" s="33" t="s">
        <v>1358</v>
      </c>
      <c r="C46" s="6" t="s">
        <v>9</v>
      </c>
      <c r="D46" s="65">
        <v>94.117647058823522</v>
      </c>
      <c r="E46" s="65">
        <v>92.857142857142861</v>
      </c>
      <c r="F46" s="65">
        <v>100</v>
      </c>
      <c r="G46" s="65">
        <f>Дошкольное!H116</f>
        <v>100</v>
      </c>
      <c r="H46" s="65">
        <f>Дошкольное!I116</f>
        <v>100</v>
      </c>
      <c r="I46" s="65">
        <f>Дошкольное!J116</f>
        <v>100</v>
      </c>
    </row>
    <row r="47" spans="1:9" x14ac:dyDescent="0.25">
      <c r="A47" s="6"/>
      <c r="B47" s="33" t="s">
        <v>1353</v>
      </c>
      <c r="C47" s="6" t="s">
        <v>9</v>
      </c>
      <c r="D47" s="65">
        <v>100</v>
      </c>
      <c r="E47" s="65">
        <v>100</v>
      </c>
      <c r="F47" s="65">
        <v>100</v>
      </c>
      <c r="G47" s="65">
        <f>Дошкольное!H117</f>
        <v>100</v>
      </c>
      <c r="H47" s="65">
        <f>Дошкольное!I117</f>
        <v>100</v>
      </c>
      <c r="I47" s="65">
        <f>Дошкольное!J117</f>
        <v>100</v>
      </c>
    </row>
    <row r="48" spans="1:9" x14ac:dyDescent="0.25">
      <c r="A48" s="6"/>
      <c r="B48" s="33" t="s">
        <v>1354</v>
      </c>
      <c r="C48" s="6" t="s">
        <v>9</v>
      </c>
      <c r="D48" s="65">
        <v>90</v>
      </c>
      <c r="E48" s="65">
        <v>85.714285714285708</v>
      </c>
      <c r="F48" s="65">
        <v>100</v>
      </c>
      <c r="G48" s="65">
        <f>Дошкольное!H118</f>
        <v>100</v>
      </c>
      <c r="H48" s="65">
        <f>Дошкольное!I118</f>
        <v>100</v>
      </c>
      <c r="I48" s="65">
        <f>Дошкольное!J118</f>
        <v>100</v>
      </c>
    </row>
    <row r="49" spans="1:9" x14ac:dyDescent="0.25">
      <c r="A49" s="6"/>
      <c r="B49" s="33" t="s">
        <v>1359</v>
      </c>
      <c r="C49" s="6" t="s">
        <v>9</v>
      </c>
      <c r="D49" s="65">
        <v>88.235294117647058</v>
      </c>
      <c r="E49" s="65">
        <v>92.857142857142861</v>
      </c>
      <c r="F49" s="65">
        <v>93.333333333333329</v>
      </c>
      <c r="G49" s="65">
        <f>Дошкольное!H119</f>
        <v>100</v>
      </c>
      <c r="H49" s="65">
        <f>Дошкольное!I119</f>
        <v>100</v>
      </c>
      <c r="I49" s="65">
        <f>Дошкольное!J119</f>
        <v>100</v>
      </c>
    </row>
    <row r="50" spans="1:9" x14ac:dyDescent="0.25">
      <c r="A50" s="6"/>
      <c r="B50" s="33" t="s">
        <v>1353</v>
      </c>
      <c r="C50" s="6" t="s">
        <v>9</v>
      </c>
      <c r="D50" s="65">
        <v>100</v>
      </c>
      <c r="E50" s="65">
        <v>100</v>
      </c>
      <c r="F50" s="65">
        <v>100</v>
      </c>
      <c r="G50" s="65">
        <f>Дошкольное!H120</f>
        <v>100</v>
      </c>
      <c r="H50" s="65">
        <f>Дошкольное!I120</f>
        <v>100</v>
      </c>
      <c r="I50" s="65">
        <f>Дошкольное!J120</f>
        <v>100</v>
      </c>
    </row>
    <row r="51" spans="1:9" x14ac:dyDescent="0.25">
      <c r="A51" s="6"/>
      <c r="B51" s="33" t="s">
        <v>1354</v>
      </c>
      <c r="C51" s="6" t="s">
        <v>9</v>
      </c>
      <c r="D51" s="65">
        <v>80</v>
      </c>
      <c r="E51" s="65">
        <v>85.714285714285708</v>
      </c>
      <c r="F51" s="65">
        <v>85.714285714285708</v>
      </c>
      <c r="G51" s="65">
        <f>Дошкольное!H121</f>
        <v>100</v>
      </c>
      <c r="H51" s="65">
        <f>Дошкольное!I121</f>
        <v>100</v>
      </c>
      <c r="I51" s="65">
        <f>Дошкольное!J121</f>
        <v>100</v>
      </c>
    </row>
    <row r="52" spans="1:9" ht="30" x14ac:dyDescent="0.25">
      <c r="A52" s="11" t="s">
        <v>71</v>
      </c>
      <c r="B52" s="64" t="s">
        <v>70</v>
      </c>
      <c r="C52" s="11" t="s">
        <v>9</v>
      </c>
      <c r="D52" s="105">
        <v>64.705882352941174</v>
      </c>
      <c r="E52" s="105">
        <v>78.571428571428569</v>
      </c>
      <c r="F52" s="105">
        <v>60</v>
      </c>
      <c r="G52" s="105">
        <f>Дошкольное!H134</f>
        <v>64.285714285714292</v>
      </c>
      <c r="H52" s="105">
        <f>Дошкольное!I134</f>
        <v>71.428571428571431</v>
      </c>
      <c r="I52" s="105">
        <f>Дошкольное!J134</f>
        <v>84.615384615384613</v>
      </c>
    </row>
    <row r="53" spans="1:9" ht="30" x14ac:dyDescent="0.25">
      <c r="A53" s="11" t="s">
        <v>75</v>
      </c>
      <c r="B53" s="64" t="s">
        <v>74</v>
      </c>
      <c r="C53" s="11" t="s">
        <v>9</v>
      </c>
      <c r="D53" s="105">
        <v>0</v>
      </c>
      <c r="E53" s="105">
        <v>0</v>
      </c>
      <c r="F53" s="105">
        <v>0</v>
      </c>
      <c r="G53" s="105">
        <v>0</v>
      </c>
      <c r="H53" s="105">
        <v>0</v>
      </c>
      <c r="I53" s="105">
        <v>0</v>
      </c>
    </row>
    <row r="54" spans="1:9" ht="30" x14ac:dyDescent="0.25">
      <c r="A54" s="11" t="s">
        <v>80</v>
      </c>
      <c r="B54" s="64" t="s">
        <v>79</v>
      </c>
      <c r="C54" s="11" t="s">
        <v>1268</v>
      </c>
      <c r="D54" s="105"/>
      <c r="E54" s="105"/>
      <c r="F54" s="105"/>
      <c r="G54" s="105"/>
      <c r="H54" s="105"/>
      <c r="I54" s="105"/>
    </row>
    <row r="55" spans="1:9" x14ac:dyDescent="0.25">
      <c r="A55" s="11"/>
      <c r="B55" s="64" t="s">
        <v>1351</v>
      </c>
      <c r="C55" s="11" t="s">
        <v>1268</v>
      </c>
      <c r="D55" s="105">
        <v>0</v>
      </c>
      <c r="E55" s="105">
        <v>0</v>
      </c>
      <c r="F55" s="105">
        <v>0</v>
      </c>
      <c r="G55" s="105">
        <v>0</v>
      </c>
      <c r="H55" s="105">
        <v>0</v>
      </c>
      <c r="I55" s="105">
        <v>0</v>
      </c>
    </row>
    <row r="56" spans="1:9" x14ac:dyDescent="0.25">
      <c r="A56" s="11"/>
      <c r="B56" s="64" t="s">
        <v>1353</v>
      </c>
      <c r="C56" s="11" t="s">
        <v>1268</v>
      </c>
      <c r="D56" s="105">
        <v>0</v>
      </c>
      <c r="E56" s="105">
        <v>0</v>
      </c>
      <c r="F56" s="105">
        <v>0</v>
      </c>
      <c r="G56" s="105">
        <v>0</v>
      </c>
      <c r="H56" s="105">
        <v>0</v>
      </c>
      <c r="I56" s="105">
        <v>0</v>
      </c>
    </row>
    <row r="57" spans="1:9" x14ac:dyDescent="0.25">
      <c r="A57" s="11"/>
      <c r="B57" s="64" t="s">
        <v>1354</v>
      </c>
      <c r="C57" s="11" t="s">
        <v>1268</v>
      </c>
      <c r="D57" s="105">
        <v>0</v>
      </c>
      <c r="E57" s="105">
        <v>0</v>
      </c>
      <c r="F57" s="105">
        <v>0</v>
      </c>
      <c r="G57" s="105">
        <v>0</v>
      </c>
      <c r="H57" s="105">
        <v>0</v>
      </c>
      <c r="I57" s="105">
        <v>0</v>
      </c>
    </row>
    <row r="58" spans="1:9" x14ac:dyDescent="0.25">
      <c r="A58" s="11"/>
      <c r="B58" s="64" t="s">
        <v>1352</v>
      </c>
      <c r="C58" s="11" t="s">
        <v>1268</v>
      </c>
      <c r="D58" s="105" t="s">
        <v>1500</v>
      </c>
      <c r="E58" s="105" t="s">
        <v>1500</v>
      </c>
      <c r="F58" s="105" t="s">
        <v>1500</v>
      </c>
      <c r="G58" s="105" t="s">
        <v>1500</v>
      </c>
      <c r="H58" s="105" t="s">
        <v>1500</v>
      </c>
      <c r="I58" s="105" t="s">
        <v>1500</v>
      </c>
    </row>
    <row r="59" spans="1:9" x14ac:dyDescent="0.25">
      <c r="A59" s="11"/>
      <c r="B59" s="64" t="s">
        <v>1353</v>
      </c>
      <c r="C59" s="11" t="s">
        <v>1268</v>
      </c>
      <c r="D59" s="105" t="s">
        <v>1500</v>
      </c>
      <c r="E59" s="105" t="s">
        <v>1500</v>
      </c>
      <c r="F59" s="105" t="s">
        <v>1500</v>
      </c>
      <c r="G59" s="105" t="s">
        <v>1500</v>
      </c>
      <c r="H59" s="105" t="s">
        <v>1500</v>
      </c>
      <c r="I59" s="105" t="s">
        <v>1500</v>
      </c>
    </row>
    <row r="60" spans="1:9" x14ac:dyDescent="0.25">
      <c r="A60" s="11"/>
      <c r="B60" s="64" t="s">
        <v>1354</v>
      </c>
      <c r="C60" s="11" t="s">
        <v>1268</v>
      </c>
      <c r="D60" s="105" t="s">
        <v>1500</v>
      </c>
      <c r="E60" s="105" t="s">
        <v>1500</v>
      </c>
      <c r="F60" s="105" t="s">
        <v>1500</v>
      </c>
      <c r="G60" s="105" t="s">
        <v>1500</v>
      </c>
      <c r="H60" s="105" t="s">
        <v>1500</v>
      </c>
      <c r="I60" s="105" t="s">
        <v>1500</v>
      </c>
    </row>
    <row r="61" spans="1:9" ht="30" x14ac:dyDescent="0.25">
      <c r="A61" s="99" t="s">
        <v>86</v>
      </c>
      <c r="B61" s="100" t="s">
        <v>85</v>
      </c>
      <c r="C61" s="88"/>
      <c r="D61" s="93"/>
      <c r="E61" s="93"/>
      <c r="F61" s="93"/>
      <c r="G61" s="93"/>
      <c r="H61" s="93"/>
      <c r="I61" s="93"/>
    </row>
    <row r="62" spans="1:9" ht="45" x14ac:dyDescent="0.25">
      <c r="A62" s="11" t="s">
        <v>88</v>
      </c>
      <c r="B62" s="64" t="s">
        <v>1513</v>
      </c>
      <c r="C62" s="11" t="s">
        <v>9</v>
      </c>
      <c r="D62" s="123">
        <v>0</v>
      </c>
      <c r="E62" s="123">
        <v>0.52935514918190563</v>
      </c>
      <c r="F62" s="123">
        <v>0.79180251513740108</v>
      </c>
      <c r="G62" s="123">
        <f>Дошкольное!H162</f>
        <v>0.84626234132581102</v>
      </c>
      <c r="H62" s="123">
        <f>Дошкольное!I162</f>
        <v>0.97134531325886353</v>
      </c>
      <c r="I62" s="123">
        <f>Дошкольное!J162</f>
        <v>2.6852312282446547</v>
      </c>
    </row>
    <row r="63" spans="1:9" x14ac:dyDescent="0.25">
      <c r="A63" s="11"/>
      <c r="B63" s="64" t="s">
        <v>1353</v>
      </c>
      <c r="C63" s="11"/>
      <c r="D63" s="123">
        <v>0</v>
      </c>
      <c r="E63" s="123">
        <v>0.65466448445171854</v>
      </c>
      <c r="F63" s="123">
        <v>0.97560975609756095</v>
      </c>
      <c r="G63" s="123">
        <f>Дошкольное!H163</f>
        <v>1.069078947368421</v>
      </c>
      <c r="H63" s="123">
        <f>Дошкольное!I163</f>
        <v>1.1274934952298352</v>
      </c>
      <c r="I63" s="123">
        <f>Дошкольное!J163</f>
        <v>4.3789097408400357</v>
      </c>
    </row>
    <row r="64" spans="1:9" x14ac:dyDescent="0.25">
      <c r="A64" s="11"/>
      <c r="B64" s="64" t="s">
        <v>1354</v>
      </c>
      <c r="C64" s="11"/>
      <c r="D64" s="123">
        <v>0</v>
      </c>
      <c r="E64" s="123">
        <v>0.35046728971962615</v>
      </c>
      <c r="F64" s="123">
        <v>0.54525627044711011</v>
      </c>
      <c r="G64" s="123">
        <f>Дошкольное!H164</f>
        <v>0.54884742041712409</v>
      </c>
      <c r="H64" s="123">
        <f>Дошкольное!I164</f>
        <v>0.77262693156732898</v>
      </c>
      <c r="I64" s="123">
        <f>Дошкольное!J164</f>
        <v>0.5605381165919282</v>
      </c>
    </row>
    <row r="65" spans="1:9" ht="30" x14ac:dyDescent="0.25">
      <c r="A65" s="6" t="s">
        <v>94</v>
      </c>
      <c r="B65" s="33" t="s">
        <v>93</v>
      </c>
      <c r="C65" s="6" t="s">
        <v>9</v>
      </c>
      <c r="D65" s="65">
        <v>0.44887780548628431</v>
      </c>
      <c r="E65" s="65">
        <v>0.67372473532242538</v>
      </c>
      <c r="F65" s="65">
        <v>0.69864927806241262</v>
      </c>
      <c r="G65" s="65">
        <f>Дошкольное!H171</f>
        <v>0.84626234132581102</v>
      </c>
      <c r="H65" s="65">
        <f>Дошкольное!I171</f>
        <v>0.87421078193297719</v>
      </c>
      <c r="I65" s="65">
        <f>Дошкольное!J171</f>
        <v>0.24863252113376427</v>
      </c>
    </row>
    <row r="66" spans="1:9" x14ac:dyDescent="0.25">
      <c r="A66" s="6"/>
      <c r="B66" s="33" t="s">
        <v>1353</v>
      </c>
      <c r="C66" s="6"/>
      <c r="D66" s="65">
        <v>0.42480883602378933</v>
      </c>
      <c r="E66" s="65">
        <v>0.73649754500818332</v>
      </c>
      <c r="F66" s="65">
        <v>0.97560975609756095</v>
      </c>
      <c r="G66" s="65">
        <f>Дошкольное!H172</f>
        <v>0.74013157894736836</v>
      </c>
      <c r="H66" s="65">
        <f>Дошкольное!I172</f>
        <v>0.95403295750216832</v>
      </c>
      <c r="I66" s="65">
        <f>Дошкольное!J172</f>
        <v>0.26809651474530832</v>
      </c>
    </row>
    <row r="67" spans="1:9" x14ac:dyDescent="0.25">
      <c r="A67" s="6"/>
      <c r="B67" s="33" t="s">
        <v>1354</v>
      </c>
      <c r="C67" s="6"/>
      <c r="D67" s="65">
        <v>0.48309178743961351</v>
      </c>
      <c r="E67" s="65">
        <v>0.58411214953271029</v>
      </c>
      <c r="F67" s="65">
        <v>0.32715376226826609</v>
      </c>
      <c r="G67" s="65">
        <f>Дошкольное!H173</f>
        <v>0.98792535675082327</v>
      </c>
      <c r="H67" s="65">
        <f>Дошкольное!I173</f>
        <v>0.77262693156732898</v>
      </c>
      <c r="I67" s="65">
        <f>Дошкольное!J173</f>
        <v>0.22421524663677131</v>
      </c>
    </row>
    <row r="68" spans="1:9" ht="60" x14ac:dyDescent="0.25">
      <c r="A68" s="11" t="s">
        <v>1456</v>
      </c>
      <c r="B68" s="64" t="s">
        <v>1457</v>
      </c>
      <c r="C68" s="11"/>
      <c r="D68" s="105"/>
      <c r="E68" s="105"/>
      <c r="F68" s="105"/>
      <c r="G68" s="105"/>
      <c r="H68" s="105"/>
      <c r="I68" s="105"/>
    </row>
    <row r="69" spans="1:9" ht="30" x14ac:dyDescent="0.25">
      <c r="A69" s="11"/>
      <c r="B69" s="64" t="s">
        <v>1458</v>
      </c>
      <c r="C69" s="11" t="s">
        <v>9</v>
      </c>
      <c r="D69" s="105"/>
      <c r="E69" s="105"/>
      <c r="F69" s="105"/>
      <c r="G69" s="105"/>
      <c r="H69" s="105"/>
      <c r="I69" s="105"/>
    </row>
    <row r="70" spans="1:9" x14ac:dyDescent="0.25">
      <c r="A70" s="11"/>
      <c r="B70" s="64" t="s">
        <v>1459</v>
      </c>
      <c r="C70" s="11" t="s">
        <v>9</v>
      </c>
      <c r="D70" s="105"/>
      <c r="E70" s="105"/>
      <c r="F70" s="105"/>
      <c r="G70" s="105"/>
      <c r="H70" s="105"/>
      <c r="I70" s="105"/>
    </row>
    <row r="71" spans="1:9" x14ac:dyDescent="0.25">
      <c r="A71" s="11"/>
      <c r="B71" s="64" t="s">
        <v>1460</v>
      </c>
      <c r="C71" s="11" t="s">
        <v>9</v>
      </c>
      <c r="D71" s="105"/>
      <c r="E71" s="105"/>
      <c r="F71" s="105"/>
      <c r="G71" s="105"/>
      <c r="H71" s="105"/>
      <c r="I71" s="105">
        <f>Дошкольное!J216</f>
        <v>83.333333333333343</v>
      </c>
    </row>
    <row r="72" spans="1:9" x14ac:dyDescent="0.25">
      <c r="A72" s="11"/>
      <c r="B72" s="64" t="s">
        <v>1461</v>
      </c>
      <c r="C72" s="11" t="s">
        <v>9</v>
      </c>
      <c r="D72" s="105"/>
      <c r="E72" s="105"/>
      <c r="F72" s="105"/>
      <c r="G72" s="105"/>
      <c r="H72" s="105"/>
      <c r="I72" s="105"/>
    </row>
    <row r="73" spans="1:9" x14ac:dyDescent="0.25">
      <c r="A73" s="11"/>
      <c r="B73" s="64" t="s">
        <v>1462</v>
      </c>
      <c r="C73" s="11" t="s">
        <v>9</v>
      </c>
      <c r="D73" s="105"/>
      <c r="E73" s="105"/>
      <c r="F73" s="105"/>
      <c r="G73" s="105"/>
      <c r="H73" s="105"/>
      <c r="I73" s="105"/>
    </row>
    <row r="74" spans="1:9" x14ac:dyDescent="0.25">
      <c r="A74" s="11"/>
      <c r="B74" s="64" t="s">
        <v>1463</v>
      </c>
      <c r="C74" s="11" t="s">
        <v>9</v>
      </c>
      <c r="D74" s="105"/>
      <c r="E74" s="105"/>
      <c r="F74" s="105"/>
      <c r="G74" s="105"/>
      <c r="H74" s="105"/>
      <c r="I74" s="105"/>
    </row>
    <row r="75" spans="1:9" x14ac:dyDescent="0.25">
      <c r="A75" s="11"/>
      <c r="B75" s="64" t="s">
        <v>1464</v>
      </c>
      <c r="C75" s="11" t="s">
        <v>9</v>
      </c>
      <c r="D75" s="105"/>
      <c r="E75" s="105"/>
      <c r="F75" s="105"/>
      <c r="G75" s="105"/>
      <c r="H75" s="105"/>
      <c r="I75" s="105"/>
    </row>
    <row r="76" spans="1:9" x14ac:dyDescent="0.25">
      <c r="A76" s="11"/>
      <c r="B76" s="64" t="s">
        <v>1465</v>
      </c>
      <c r="C76" s="11" t="s">
        <v>9</v>
      </c>
      <c r="D76" s="105"/>
      <c r="E76" s="105"/>
      <c r="F76" s="105"/>
      <c r="G76" s="105"/>
      <c r="H76" s="105"/>
      <c r="I76" s="105"/>
    </row>
    <row r="77" spans="1:9" x14ac:dyDescent="0.25">
      <c r="A77" s="11"/>
      <c r="B77" s="64" t="s">
        <v>1466</v>
      </c>
      <c r="C77" s="11" t="s">
        <v>9</v>
      </c>
      <c r="D77" s="105"/>
      <c r="E77" s="105"/>
      <c r="F77" s="105"/>
      <c r="G77" s="105"/>
      <c r="H77" s="105"/>
      <c r="I77" s="105"/>
    </row>
    <row r="78" spans="1:9" x14ac:dyDescent="0.25">
      <c r="A78" s="11"/>
      <c r="B78" s="64" t="s">
        <v>1467</v>
      </c>
      <c r="C78" s="11" t="s">
        <v>9</v>
      </c>
      <c r="D78" s="105"/>
      <c r="E78" s="105"/>
      <c r="F78" s="105"/>
      <c r="G78" s="105"/>
      <c r="H78" s="105"/>
      <c r="I78" s="105"/>
    </row>
    <row r="79" spans="1:9" ht="30" x14ac:dyDescent="0.25">
      <c r="A79" s="11"/>
      <c r="B79" s="64" t="s">
        <v>1468</v>
      </c>
      <c r="C79" s="11" t="s">
        <v>9</v>
      </c>
      <c r="D79" s="105"/>
      <c r="E79" s="105"/>
      <c r="F79" s="105"/>
      <c r="G79" s="105"/>
      <c r="H79" s="105"/>
      <c r="I79" s="105"/>
    </row>
    <row r="80" spans="1:9" x14ac:dyDescent="0.25">
      <c r="A80" s="11"/>
      <c r="B80" s="64" t="s">
        <v>1469</v>
      </c>
      <c r="C80" s="11" t="s">
        <v>9</v>
      </c>
      <c r="D80" s="105"/>
      <c r="E80" s="105"/>
      <c r="F80" s="105"/>
      <c r="G80" s="105"/>
      <c r="H80" s="105"/>
      <c r="I80" s="105"/>
    </row>
    <row r="81" spans="1:9" x14ac:dyDescent="0.25">
      <c r="A81" s="11"/>
      <c r="B81" s="64" t="s">
        <v>1470</v>
      </c>
      <c r="C81" s="11" t="s">
        <v>9</v>
      </c>
      <c r="D81" s="105"/>
      <c r="E81" s="105"/>
      <c r="F81" s="105"/>
      <c r="G81" s="105"/>
      <c r="H81" s="105"/>
      <c r="I81" s="105"/>
    </row>
    <row r="82" spans="1:9" ht="30" x14ac:dyDescent="0.25">
      <c r="A82" s="11"/>
      <c r="B82" s="64" t="s">
        <v>1471</v>
      </c>
      <c r="C82" s="11" t="s">
        <v>9</v>
      </c>
      <c r="D82" s="105"/>
      <c r="E82" s="105"/>
      <c r="F82" s="105"/>
      <c r="G82" s="105"/>
      <c r="H82" s="105"/>
      <c r="I82" s="105"/>
    </row>
    <row r="83" spans="1:9" x14ac:dyDescent="0.25">
      <c r="A83" s="11"/>
      <c r="B83" s="64" t="s">
        <v>1472</v>
      </c>
      <c r="C83" s="11" t="s">
        <v>9</v>
      </c>
      <c r="D83" s="105"/>
      <c r="E83" s="105"/>
      <c r="F83" s="105"/>
      <c r="G83" s="105"/>
      <c r="H83" s="105"/>
      <c r="I83" s="105"/>
    </row>
    <row r="84" spans="1:9" ht="45" x14ac:dyDescent="0.25">
      <c r="A84" s="11" t="s">
        <v>1473</v>
      </c>
      <c r="B84" s="64" t="s">
        <v>1474</v>
      </c>
      <c r="C84" s="11"/>
      <c r="D84" s="105"/>
      <c r="E84" s="105"/>
      <c r="F84" s="105"/>
      <c r="G84" s="105"/>
      <c r="H84" s="105"/>
      <c r="I84" s="105"/>
    </row>
    <row r="85" spans="1:9" ht="30" x14ac:dyDescent="0.25">
      <c r="A85" s="11"/>
      <c r="B85" s="64" t="s">
        <v>1458</v>
      </c>
      <c r="C85" s="11" t="s">
        <v>9</v>
      </c>
      <c r="D85" s="105"/>
      <c r="E85" s="105"/>
      <c r="F85" s="105"/>
      <c r="G85" s="105"/>
      <c r="H85" s="105"/>
      <c r="I85" s="105"/>
    </row>
    <row r="86" spans="1:9" x14ac:dyDescent="0.25">
      <c r="A86" s="11"/>
      <c r="B86" s="64" t="s">
        <v>1459</v>
      </c>
      <c r="C86" s="11" t="s">
        <v>9</v>
      </c>
      <c r="D86" s="105"/>
      <c r="E86" s="105"/>
      <c r="F86" s="105"/>
      <c r="G86" s="105"/>
      <c r="H86" s="105"/>
      <c r="I86" s="105"/>
    </row>
    <row r="87" spans="1:9" x14ac:dyDescent="0.25">
      <c r="A87" s="11"/>
      <c r="B87" s="64" t="s">
        <v>1460</v>
      </c>
      <c r="C87" s="11" t="s">
        <v>9</v>
      </c>
      <c r="D87" s="105"/>
      <c r="E87" s="105"/>
      <c r="F87" s="105"/>
      <c r="G87" s="105"/>
      <c r="H87" s="105"/>
      <c r="I87" s="105"/>
    </row>
    <row r="88" spans="1:9" x14ac:dyDescent="0.25">
      <c r="A88" s="11"/>
      <c r="B88" s="64" t="s">
        <v>1461</v>
      </c>
      <c r="C88" s="11" t="s">
        <v>9</v>
      </c>
      <c r="D88" s="105"/>
      <c r="E88" s="105"/>
      <c r="F88" s="105"/>
      <c r="G88" s="105"/>
      <c r="H88" s="105"/>
      <c r="I88" s="105"/>
    </row>
    <row r="89" spans="1:9" x14ac:dyDescent="0.25">
      <c r="A89" s="11"/>
      <c r="B89" s="64" t="s">
        <v>1462</v>
      </c>
      <c r="C89" s="11" t="s">
        <v>9</v>
      </c>
      <c r="D89" s="105"/>
      <c r="E89" s="105"/>
      <c r="F89" s="105"/>
      <c r="G89" s="105"/>
      <c r="H89" s="105"/>
      <c r="I89" s="105"/>
    </row>
    <row r="90" spans="1:9" x14ac:dyDescent="0.25">
      <c r="A90" s="11"/>
      <c r="B90" s="64" t="s">
        <v>1463</v>
      </c>
      <c r="C90" s="11" t="s">
        <v>9</v>
      </c>
      <c r="D90" s="105"/>
      <c r="E90" s="105"/>
      <c r="F90" s="105"/>
      <c r="G90" s="105"/>
      <c r="H90" s="105"/>
      <c r="I90" s="105"/>
    </row>
    <row r="91" spans="1:9" x14ac:dyDescent="0.25">
      <c r="A91" s="11"/>
      <c r="B91" s="64" t="s">
        <v>1464</v>
      </c>
      <c r="C91" s="11" t="s">
        <v>9</v>
      </c>
      <c r="D91" s="105"/>
      <c r="E91" s="105"/>
      <c r="F91" s="105"/>
      <c r="G91" s="105"/>
      <c r="H91" s="105"/>
      <c r="I91" s="105"/>
    </row>
    <row r="92" spans="1:9" x14ac:dyDescent="0.25">
      <c r="A92" s="11"/>
      <c r="B92" s="64" t="s">
        <v>1465</v>
      </c>
      <c r="C92" s="11" t="s">
        <v>9</v>
      </c>
      <c r="D92" s="105"/>
      <c r="E92" s="105"/>
      <c r="F92" s="105"/>
      <c r="G92" s="105"/>
      <c r="H92" s="105"/>
      <c r="I92" s="105"/>
    </row>
    <row r="93" spans="1:9" x14ac:dyDescent="0.25">
      <c r="A93" s="11"/>
      <c r="B93" s="64" t="s">
        <v>1466</v>
      </c>
      <c r="C93" s="11" t="s">
        <v>9</v>
      </c>
      <c r="D93" s="105"/>
      <c r="E93" s="105"/>
      <c r="F93" s="105"/>
      <c r="G93" s="105"/>
      <c r="H93" s="105"/>
      <c r="I93" s="105"/>
    </row>
    <row r="94" spans="1:9" x14ac:dyDescent="0.25">
      <c r="A94" s="11"/>
      <c r="B94" s="64" t="s">
        <v>1467</v>
      </c>
      <c r="C94" s="11" t="s">
        <v>9</v>
      </c>
      <c r="D94" s="105"/>
      <c r="E94" s="105"/>
      <c r="F94" s="105"/>
      <c r="G94" s="105"/>
      <c r="H94" s="105"/>
      <c r="I94" s="105"/>
    </row>
    <row r="95" spans="1:9" ht="30" x14ac:dyDescent="0.25">
      <c r="A95" s="11"/>
      <c r="B95" s="64" t="s">
        <v>1468</v>
      </c>
      <c r="C95" s="11" t="s">
        <v>9</v>
      </c>
      <c r="D95" s="105"/>
      <c r="E95" s="105"/>
      <c r="F95" s="105"/>
      <c r="G95" s="105"/>
      <c r="H95" s="105"/>
      <c r="I95" s="105"/>
    </row>
    <row r="96" spans="1:9" x14ac:dyDescent="0.25">
      <c r="A96" s="11"/>
      <c r="B96" s="64" t="s">
        <v>1469</v>
      </c>
      <c r="C96" s="11" t="s">
        <v>9</v>
      </c>
      <c r="D96" s="105"/>
      <c r="E96" s="105"/>
      <c r="F96" s="105"/>
      <c r="G96" s="105"/>
      <c r="H96" s="105"/>
      <c r="I96" s="105"/>
    </row>
    <row r="97" spans="1:9" x14ac:dyDescent="0.25">
      <c r="A97" s="11"/>
      <c r="B97" s="64" t="s">
        <v>1470</v>
      </c>
      <c r="C97" s="11" t="s">
        <v>9</v>
      </c>
      <c r="D97" s="105"/>
      <c r="E97" s="105"/>
      <c r="F97" s="105"/>
      <c r="G97" s="105"/>
      <c r="H97" s="105"/>
      <c r="I97" s="105"/>
    </row>
    <row r="98" spans="1:9" ht="30" x14ac:dyDescent="0.25">
      <c r="A98" s="11"/>
      <c r="B98" s="64" t="s">
        <v>1471</v>
      </c>
      <c r="C98" s="11" t="s">
        <v>9</v>
      </c>
      <c r="D98" s="105"/>
      <c r="E98" s="105"/>
      <c r="F98" s="105"/>
      <c r="G98" s="105"/>
      <c r="H98" s="105"/>
      <c r="I98" s="105"/>
    </row>
    <row r="99" spans="1:9" x14ac:dyDescent="0.25">
      <c r="A99" s="11"/>
      <c r="B99" s="64" t="s">
        <v>1472</v>
      </c>
      <c r="C99" s="11" t="s">
        <v>9</v>
      </c>
      <c r="D99" s="105"/>
      <c r="E99" s="105"/>
      <c r="F99" s="105"/>
      <c r="G99" s="105"/>
      <c r="H99" s="105"/>
      <c r="I99" s="105"/>
    </row>
    <row r="100" spans="1:9" ht="45" x14ac:dyDescent="0.25">
      <c r="A100" s="11" t="s">
        <v>1475</v>
      </c>
      <c r="B100" s="64" t="s">
        <v>1476</v>
      </c>
      <c r="C100" s="11" t="s">
        <v>9</v>
      </c>
      <c r="D100" s="105"/>
      <c r="E100" s="105"/>
      <c r="F100" s="105"/>
      <c r="G100" s="105"/>
      <c r="H100" s="105"/>
      <c r="I100" s="105"/>
    </row>
    <row r="101" spans="1:9" ht="30" x14ac:dyDescent="0.25">
      <c r="A101" s="99" t="s">
        <v>99</v>
      </c>
      <c r="B101" s="100" t="s">
        <v>98</v>
      </c>
      <c r="C101" s="88"/>
      <c r="D101" s="93"/>
      <c r="E101" s="93"/>
      <c r="F101" s="93"/>
      <c r="G101" s="93"/>
      <c r="H101" s="93"/>
      <c r="I101" s="93"/>
    </row>
    <row r="102" spans="1:9" ht="30" x14ac:dyDescent="0.25">
      <c r="A102" s="11" t="s">
        <v>101</v>
      </c>
      <c r="B102" s="64" t="s">
        <v>1511</v>
      </c>
      <c r="C102" s="11" t="s">
        <v>1269</v>
      </c>
      <c r="D102" s="65">
        <v>29.111458333333335</v>
      </c>
      <c r="E102" s="65">
        <v>26.83625438157236</v>
      </c>
      <c r="F102" s="65">
        <v>35.217904574520411</v>
      </c>
      <c r="G102" s="65">
        <f>Дошкольное!H238</f>
        <v>31.448989186647861</v>
      </c>
      <c r="H102" s="65">
        <f>Дошкольное!I238</f>
        <v>34.296260320543951</v>
      </c>
      <c r="I102" s="65">
        <f>Дошкольное!J238</f>
        <v>33.495773247140725</v>
      </c>
    </row>
    <row r="103" spans="1:9" x14ac:dyDescent="0.25">
      <c r="A103" s="11"/>
      <c r="B103" s="33" t="s">
        <v>1353</v>
      </c>
      <c r="C103" s="11" t="s">
        <v>1269</v>
      </c>
      <c r="D103" s="65">
        <v>25.647636039250671</v>
      </c>
      <c r="E103" s="65">
        <v>23.498310810810811</v>
      </c>
      <c r="F103" s="65">
        <v>27.772804054054053</v>
      </c>
      <c r="G103" s="65">
        <f>Дошкольное!H239</f>
        <v>24.136513157894736</v>
      </c>
      <c r="H103" s="65">
        <f>Дошкольное!I239</f>
        <v>32.109280138768433</v>
      </c>
      <c r="I103" s="65">
        <f>Дошкольное!J239</f>
        <v>29.317247542448616</v>
      </c>
    </row>
    <row r="104" spans="1:9" x14ac:dyDescent="0.25">
      <c r="A104" s="11"/>
      <c r="B104" s="33" t="s">
        <v>1354</v>
      </c>
      <c r="C104" s="11" t="s">
        <v>1269</v>
      </c>
      <c r="D104" s="65">
        <v>33.971214017521902</v>
      </c>
      <c r="E104" s="65">
        <v>31.697416974169741</v>
      </c>
      <c r="F104" s="65">
        <v>45.600706713780916</v>
      </c>
      <c r="G104" s="65">
        <f>Дошкольное!H240</f>
        <v>41.20965971459934</v>
      </c>
      <c r="H104" s="65">
        <f>Дошкольное!I240</f>
        <v>37.079470198675494</v>
      </c>
      <c r="I104" s="65">
        <f>Дошкольное!J240</f>
        <v>38.737668161434975</v>
      </c>
    </row>
    <row r="105" spans="1:9" ht="45" x14ac:dyDescent="0.25">
      <c r="A105" s="107" t="s">
        <v>108</v>
      </c>
      <c r="B105" s="108" t="s">
        <v>107</v>
      </c>
      <c r="C105" s="109"/>
      <c r="D105" s="97"/>
      <c r="E105" s="97"/>
      <c r="F105" s="97"/>
      <c r="G105" s="97"/>
      <c r="H105" s="97"/>
      <c r="I105" s="97"/>
    </row>
    <row r="106" spans="1:9" x14ac:dyDescent="0.25">
      <c r="A106" s="95" t="s">
        <v>110</v>
      </c>
      <c r="B106" s="96" t="s">
        <v>109</v>
      </c>
      <c r="C106" s="95" t="s">
        <v>9</v>
      </c>
      <c r="D106" s="110"/>
      <c r="E106" s="110"/>
      <c r="F106" s="110"/>
      <c r="G106" s="110"/>
      <c r="H106" s="110"/>
      <c r="I106" s="110"/>
    </row>
    <row r="107" spans="1:9" x14ac:dyDescent="0.25">
      <c r="A107" s="11"/>
      <c r="B107" s="64" t="s">
        <v>1351</v>
      </c>
      <c r="C107" s="11" t="s">
        <v>9</v>
      </c>
      <c r="D107" s="105">
        <v>100</v>
      </c>
      <c r="E107" s="105">
        <v>82.35294117647058</v>
      </c>
      <c r="F107" s="105">
        <v>107.14285714285714</v>
      </c>
      <c r="G107" s="105">
        <f>Дошкольное!H249</f>
        <v>100</v>
      </c>
      <c r="H107" s="105">
        <f>Дошкольное!I249</f>
        <v>100</v>
      </c>
      <c r="I107" s="105">
        <f>Дошкольное!J249</f>
        <v>100</v>
      </c>
    </row>
    <row r="108" spans="1:9" x14ac:dyDescent="0.25">
      <c r="A108" s="11"/>
      <c r="B108" s="64" t="s">
        <v>1352</v>
      </c>
      <c r="C108" s="11" t="s">
        <v>9</v>
      </c>
      <c r="D108" s="105" t="s">
        <v>1500</v>
      </c>
      <c r="E108" s="105" t="s">
        <v>1500</v>
      </c>
      <c r="F108" s="105" t="s">
        <v>1500</v>
      </c>
      <c r="G108" s="105"/>
      <c r="H108" s="105"/>
      <c r="I108" s="105"/>
    </row>
    <row r="109" spans="1:9" ht="30" x14ac:dyDescent="0.25">
      <c r="A109" s="99" t="s">
        <v>112</v>
      </c>
      <c r="B109" s="100" t="s">
        <v>111</v>
      </c>
      <c r="C109" s="88"/>
      <c r="D109" s="93"/>
      <c r="E109" s="93"/>
      <c r="F109" s="93"/>
      <c r="G109" s="93"/>
      <c r="H109" s="93"/>
      <c r="I109" s="93"/>
    </row>
    <row r="110" spans="1:9" ht="30" x14ac:dyDescent="0.25">
      <c r="A110" s="11" t="s">
        <v>114</v>
      </c>
      <c r="B110" s="64" t="s">
        <v>1512</v>
      </c>
      <c r="C110" s="11" t="s">
        <v>1270</v>
      </c>
      <c r="D110" s="93"/>
      <c r="E110" s="93"/>
      <c r="F110" s="93"/>
      <c r="G110" s="93"/>
      <c r="H110" s="93"/>
      <c r="I110" s="93"/>
    </row>
    <row r="111" spans="1:9" x14ac:dyDescent="0.25">
      <c r="A111" s="11"/>
      <c r="B111" s="64" t="s">
        <v>1351</v>
      </c>
      <c r="C111" s="11" t="s">
        <v>9</v>
      </c>
      <c r="D111" s="93">
        <v>209.16994791666667</v>
      </c>
      <c r="E111" s="93">
        <v>197.87926890335504</v>
      </c>
      <c r="F111" s="93">
        <v>197.90373831775702</v>
      </c>
      <c r="G111" s="93">
        <f>Дошкольное!H256</f>
        <v>198.49976492712742</v>
      </c>
      <c r="H111" s="93">
        <f>Дошкольное!I256</f>
        <v>198.81117047110249</v>
      </c>
      <c r="I111" s="93">
        <f>Дошкольное!J256</f>
        <v>220.91169215589542</v>
      </c>
    </row>
    <row r="112" spans="1:9" x14ac:dyDescent="0.25">
      <c r="A112" s="11"/>
      <c r="B112" s="64" t="s">
        <v>1352</v>
      </c>
      <c r="C112" s="11" t="s">
        <v>9</v>
      </c>
      <c r="D112" s="93" t="s">
        <v>1500</v>
      </c>
      <c r="E112" s="93" t="s">
        <v>1500</v>
      </c>
      <c r="F112" s="93" t="s">
        <v>1500</v>
      </c>
      <c r="G112" s="93">
        <f>Дошкольное!H257</f>
        <v>179.24</v>
      </c>
      <c r="H112" s="93">
        <f>Дошкольное!I257</f>
        <v>236.19166666666669</v>
      </c>
      <c r="I112" s="93">
        <f>Дошкольное!J257</f>
        <v>325.34000000000003</v>
      </c>
    </row>
    <row r="113" spans="1:9" ht="45" x14ac:dyDescent="0.25">
      <c r="A113" s="11" t="s">
        <v>118</v>
      </c>
      <c r="B113" s="64" t="s">
        <v>119</v>
      </c>
      <c r="C113" s="11"/>
      <c r="D113" s="93"/>
      <c r="E113" s="93"/>
      <c r="F113" s="93"/>
      <c r="G113" s="93"/>
      <c r="H113" s="93"/>
      <c r="I113" s="93"/>
    </row>
    <row r="114" spans="1:9" x14ac:dyDescent="0.25">
      <c r="A114" s="11"/>
      <c r="B114" s="64" t="s">
        <v>1351</v>
      </c>
      <c r="C114" s="11" t="s">
        <v>9</v>
      </c>
      <c r="D114" s="93">
        <v>8.0541316209431972</v>
      </c>
      <c r="E114" s="93">
        <v>8.4089199217845501</v>
      </c>
      <c r="F114" s="93">
        <v>9.7794318860521123</v>
      </c>
      <c r="G114" s="93">
        <f>Дошкольное!H265</f>
        <v>10.234220492694378</v>
      </c>
      <c r="H114" s="93">
        <f>Дошкольное!I265</f>
        <v>10.823931079398132</v>
      </c>
      <c r="I114" s="93">
        <f>Дошкольное!J265</f>
        <v>9.7488097045923503</v>
      </c>
    </row>
    <row r="115" spans="1:9" x14ac:dyDescent="0.25">
      <c r="A115" s="11"/>
      <c r="B115" s="64" t="s">
        <v>1352</v>
      </c>
      <c r="C115" s="11" t="s">
        <v>9</v>
      </c>
      <c r="D115" s="93" t="s">
        <v>1500</v>
      </c>
      <c r="E115" s="93" t="s">
        <v>1500</v>
      </c>
      <c r="F115" s="93" t="s">
        <v>1500</v>
      </c>
      <c r="G115" s="93">
        <f>Дошкольное!H266</f>
        <v>0</v>
      </c>
      <c r="H115" s="93">
        <f>Дошкольное!I266</f>
        <v>0</v>
      </c>
      <c r="I115" s="93">
        <f>Дошкольное!J266</f>
        <v>0</v>
      </c>
    </row>
    <row r="116" spans="1:9" ht="30" x14ac:dyDescent="0.25">
      <c r="A116" s="107" t="s">
        <v>123</v>
      </c>
      <c r="B116" s="108" t="s">
        <v>122</v>
      </c>
      <c r="C116" s="109"/>
      <c r="D116" s="97"/>
      <c r="E116" s="97"/>
      <c r="F116" s="97"/>
      <c r="G116" s="97"/>
      <c r="H116" s="97"/>
      <c r="I116" s="97"/>
    </row>
    <row r="117" spans="1:9" ht="30" x14ac:dyDescent="0.25">
      <c r="A117" s="95" t="s">
        <v>125</v>
      </c>
      <c r="B117" s="96" t="s">
        <v>124</v>
      </c>
      <c r="C117" s="95" t="s">
        <v>9</v>
      </c>
      <c r="D117" s="110">
        <v>0</v>
      </c>
      <c r="E117" s="110">
        <v>0</v>
      </c>
      <c r="F117" s="110">
        <v>0</v>
      </c>
      <c r="G117" s="110">
        <v>0</v>
      </c>
      <c r="H117" s="110">
        <v>0</v>
      </c>
      <c r="I117" s="110">
        <v>0</v>
      </c>
    </row>
    <row r="118" spans="1:9" x14ac:dyDescent="0.25">
      <c r="A118" s="95"/>
      <c r="B118" s="96" t="s">
        <v>1353</v>
      </c>
      <c r="C118" s="95" t="s">
        <v>9</v>
      </c>
      <c r="D118" s="110">
        <v>0</v>
      </c>
      <c r="E118" s="110">
        <v>0</v>
      </c>
      <c r="F118" s="110">
        <v>0</v>
      </c>
      <c r="G118" s="110">
        <v>0</v>
      </c>
      <c r="H118" s="110">
        <v>0</v>
      </c>
      <c r="I118" s="110">
        <v>0</v>
      </c>
    </row>
    <row r="119" spans="1:9" x14ac:dyDescent="0.25">
      <c r="A119" s="95"/>
      <c r="B119" s="96" t="s">
        <v>1354</v>
      </c>
      <c r="C119" s="95" t="s">
        <v>9</v>
      </c>
      <c r="D119" s="110">
        <v>0</v>
      </c>
      <c r="E119" s="110">
        <v>0</v>
      </c>
      <c r="F119" s="110">
        <v>0</v>
      </c>
      <c r="G119" s="110">
        <v>0</v>
      </c>
      <c r="H119" s="110">
        <v>0</v>
      </c>
      <c r="I119" s="110">
        <v>0</v>
      </c>
    </row>
    <row r="120" spans="1:9" ht="30" x14ac:dyDescent="0.25">
      <c r="A120" s="95" t="s">
        <v>129</v>
      </c>
      <c r="B120" s="96" t="s">
        <v>128</v>
      </c>
      <c r="C120" s="95" t="s">
        <v>9</v>
      </c>
      <c r="D120" s="110">
        <v>5.8823529411764701</v>
      </c>
      <c r="E120" s="110">
        <v>7.1428571428571423</v>
      </c>
      <c r="F120" s="110">
        <v>6.666666666666667</v>
      </c>
      <c r="G120" s="110">
        <v>0</v>
      </c>
      <c r="H120" s="110">
        <v>0</v>
      </c>
      <c r="I120" s="110">
        <v>0</v>
      </c>
    </row>
    <row r="121" spans="1:9" x14ac:dyDescent="0.25">
      <c r="A121" s="95"/>
      <c r="B121" s="96" t="s">
        <v>1353</v>
      </c>
      <c r="C121" s="95" t="s">
        <v>9</v>
      </c>
      <c r="D121" s="110">
        <v>14.285714285714285</v>
      </c>
      <c r="E121" s="110">
        <v>14.285714285714285</v>
      </c>
      <c r="F121" s="110">
        <v>12.5</v>
      </c>
      <c r="G121" s="110">
        <v>0</v>
      </c>
      <c r="H121" s="110">
        <v>0</v>
      </c>
      <c r="I121" s="110">
        <v>0</v>
      </c>
    </row>
    <row r="122" spans="1:9" x14ac:dyDescent="0.25">
      <c r="A122" s="95"/>
      <c r="B122" s="96" t="s">
        <v>1354</v>
      </c>
      <c r="C122" s="95" t="s">
        <v>9</v>
      </c>
      <c r="D122" s="110">
        <v>0</v>
      </c>
      <c r="E122" s="110">
        <v>0</v>
      </c>
      <c r="F122" s="110">
        <v>0</v>
      </c>
      <c r="G122" s="110">
        <v>0</v>
      </c>
      <c r="H122" s="110">
        <v>0</v>
      </c>
      <c r="I122" s="110">
        <v>0</v>
      </c>
    </row>
    <row r="123" spans="1:9" x14ac:dyDescent="0.25">
      <c r="A123" s="137" t="s">
        <v>132</v>
      </c>
      <c r="B123" s="137"/>
      <c r="C123" s="137"/>
      <c r="D123" s="137"/>
      <c r="E123" s="137"/>
      <c r="F123" s="137"/>
      <c r="G123" s="385"/>
      <c r="H123" s="385"/>
      <c r="I123" s="385"/>
    </row>
    <row r="124" spans="1:9" ht="60" x14ac:dyDescent="0.25">
      <c r="A124" s="9" t="s">
        <v>134</v>
      </c>
      <c r="B124" s="32" t="s">
        <v>133</v>
      </c>
      <c r="C124" s="7"/>
      <c r="D124" s="13"/>
      <c r="E124" s="13"/>
      <c r="F124" s="13"/>
      <c r="G124" s="13"/>
      <c r="H124" s="13"/>
      <c r="I124" s="13"/>
    </row>
    <row r="125" spans="1:9" ht="60" x14ac:dyDescent="0.25">
      <c r="A125" s="72" t="s">
        <v>136</v>
      </c>
      <c r="B125" s="73" t="s">
        <v>135</v>
      </c>
      <c r="C125" s="72" t="s">
        <v>9</v>
      </c>
      <c r="D125" s="65">
        <v>102.30232558139537</v>
      </c>
      <c r="E125" s="65">
        <v>100.92081031307552</v>
      </c>
      <c r="F125" s="65">
        <v>103.36715867158672</v>
      </c>
      <c r="G125" s="65">
        <f>Общее!H10</f>
        <v>102.09233568342052</v>
      </c>
      <c r="H125" s="65">
        <f>Общее!I10</f>
        <v>102.49716231555051</v>
      </c>
      <c r="I125" s="65">
        <f>Общее!J10</f>
        <v>80.470840021401827</v>
      </c>
    </row>
    <row r="126" spans="1:9" ht="60" x14ac:dyDescent="0.25">
      <c r="A126" s="6" t="s">
        <v>145</v>
      </c>
      <c r="B126" s="33" t="s">
        <v>144</v>
      </c>
      <c r="C126" s="6"/>
      <c r="D126" s="13"/>
      <c r="E126" s="13"/>
      <c r="F126" s="13"/>
      <c r="G126" s="13"/>
      <c r="H126" s="13"/>
      <c r="I126" s="13"/>
    </row>
    <row r="127" spans="1:9" x14ac:dyDescent="0.25">
      <c r="A127" s="6"/>
      <c r="B127" s="33" t="s">
        <v>1351</v>
      </c>
      <c r="C127" s="6" t="s">
        <v>9</v>
      </c>
      <c r="D127" s="65">
        <v>0</v>
      </c>
      <c r="E127" s="65">
        <v>32.446076181734739</v>
      </c>
      <c r="F127" s="65">
        <v>0</v>
      </c>
      <c r="G127" s="65">
        <v>100</v>
      </c>
      <c r="H127" s="65">
        <v>100</v>
      </c>
      <c r="I127" s="65">
        <v>100</v>
      </c>
    </row>
    <row r="128" spans="1:9" x14ac:dyDescent="0.25">
      <c r="A128" s="6"/>
      <c r="B128" s="33" t="s">
        <v>1353</v>
      </c>
      <c r="C128" s="6" t="s">
        <v>9</v>
      </c>
      <c r="D128" s="65">
        <v>0</v>
      </c>
      <c r="E128" s="65">
        <v>60.221465076660984</v>
      </c>
      <c r="F128" s="65">
        <v>0</v>
      </c>
      <c r="G128" s="65">
        <v>100</v>
      </c>
      <c r="H128" s="65">
        <v>100</v>
      </c>
      <c r="I128" s="65">
        <v>100</v>
      </c>
    </row>
    <row r="129" spans="1:9" x14ac:dyDescent="0.25">
      <c r="A129" s="6"/>
      <c r="B129" s="33" t="s">
        <v>1354</v>
      </c>
      <c r="C129" s="6" t="s">
        <v>9</v>
      </c>
      <c r="D129" s="65">
        <v>0</v>
      </c>
      <c r="E129" s="65">
        <v>0</v>
      </c>
      <c r="F129" s="65">
        <v>0</v>
      </c>
      <c r="G129" s="65">
        <v>100</v>
      </c>
      <c r="H129" s="65">
        <v>100</v>
      </c>
      <c r="I129" s="65">
        <v>100</v>
      </c>
    </row>
    <row r="130" spans="1:9" x14ac:dyDescent="0.25">
      <c r="A130" s="6"/>
      <c r="B130" s="33" t="s">
        <v>1352</v>
      </c>
      <c r="C130" s="6" t="s">
        <v>9</v>
      </c>
      <c r="D130" s="65" t="s">
        <v>1500</v>
      </c>
      <c r="E130" s="65" t="s">
        <v>1500</v>
      </c>
      <c r="F130" s="65" t="s">
        <v>1500</v>
      </c>
      <c r="G130" s="65" t="s">
        <v>1500</v>
      </c>
      <c r="H130" s="65" t="s">
        <v>1500</v>
      </c>
      <c r="I130" s="65" t="s">
        <v>1500</v>
      </c>
    </row>
    <row r="131" spans="1:9" x14ac:dyDescent="0.25">
      <c r="A131" s="6"/>
      <c r="B131" s="33" t="s">
        <v>1353</v>
      </c>
      <c r="C131" s="6" t="s">
        <v>9</v>
      </c>
      <c r="D131" s="65" t="s">
        <v>1500</v>
      </c>
      <c r="E131" s="65" t="s">
        <v>1500</v>
      </c>
      <c r="F131" s="65" t="s">
        <v>1500</v>
      </c>
      <c r="G131" s="65" t="s">
        <v>1500</v>
      </c>
      <c r="H131" s="65" t="s">
        <v>1500</v>
      </c>
      <c r="I131" s="65" t="s">
        <v>1500</v>
      </c>
    </row>
    <row r="132" spans="1:9" x14ac:dyDescent="0.25">
      <c r="A132" s="6"/>
      <c r="B132" s="33" t="s">
        <v>1354</v>
      </c>
      <c r="C132" s="6" t="s">
        <v>9</v>
      </c>
      <c r="D132" s="65" t="s">
        <v>1500</v>
      </c>
      <c r="E132" s="65" t="s">
        <v>1500</v>
      </c>
      <c r="F132" s="65" t="s">
        <v>1500</v>
      </c>
      <c r="G132" s="65" t="s">
        <v>1500</v>
      </c>
      <c r="H132" s="65" t="s">
        <v>1500</v>
      </c>
      <c r="I132" s="65" t="s">
        <v>1500</v>
      </c>
    </row>
    <row r="133" spans="1:9" ht="75" x14ac:dyDescent="0.25">
      <c r="A133" s="11" t="s">
        <v>151</v>
      </c>
      <c r="B133" s="64" t="s">
        <v>1347</v>
      </c>
      <c r="C133" s="11" t="s">
        <v>9</v>
      </c>
      <c r="D133" s="105" t="s">
        <v>1500</v>
      </c>
      <c r="E133" s="105" t="s">
        <v>1500</v>
      </c>
      <c r="F133" s="105" t="s">
        <v>1500</v>
      </c>
      <c r="G133" s="105" t="s">
        <v>1500</v>
      </c>
      <c r="H133" s="105" t="s">
        <v>1500</v>
      </c>
      <c r="I133" s="105" t="s">
        <v>1500</v>
      </c>
    </row>
    <row r="134" spans="1:9" ht="45" x14ac:dyDescent="0.25">
      <c r="A134" s="9" t="s">
        <v>153</v>
      </c>
      <c r="B134" s="32" t="s">
        <v>152</v>
      </c>
      <c r="C134" s="6"/>
      <c r="D134" s="13"/>
      <c r="E134" s="13"/>
      <c r="F134" s="13"/>
      <c r="G134" s="13"/>
      <c r="H134" s="13"/>
      <c r="I134" s="13"/>
    </row>
    <row r="135" spans="1:9" ht="30" x14ac:dyDescent="0.25">
      <c r="A135" s="6" t="s">
        <v>159</v>
      </c>
      <c r="B135" s="33" t="s">
        <v>154</v>
      </c>
      <c r="C135" s="6"/>
      <c r="D135" s="13"/>
      <c r="E135" s="13"/>
      <c r="F135" s="13"/>
      <c r="G135" s="13"/>
      <c r="H135" s="13"/>
      <c r="I135" s="13"/>
    </row>
    <row r="136" spans="1:9" x14ac:dyDescent="0.25">
      <c r="A136" s="6"/>
      <c r="B136" s="33" t="s">
        <v>1351</v>
      </c>
      <c r="C136" s="6" t="s">
        <v>9</v>
      </c>
      <c r="D136" s="65">
        <v>8.7545955882352935</v>
      </c>
      <c r="E136" s="65">
        <v>10.325837540156035</v>
      </c>
      <c r="F136" s="65">
        <v>8.937794745115653</v>
      </c>
      <c r="G136" s="65">
        <f>Общее!H45</f>
        <v>6.1938958707360863</v>
      </c>
      <c r="H136" s="65">
        <f>Общее!I45</f>
        <v>5.0345288482958344</v>
      </c>
      <c r="I136" s="65">
        <f>Общее!J45</f>
        <v>5.0579322638146174</v>
      </c>
    </row>
    <row r="137" spans="1:9" x14ac:dyDescent="0.25">
      <c r="A137" s="6"/>
      <c r="B137" s="33" t="s">
        <v>1353</v>
      </c>
      <c r="C137" s="6" t="s">
        <v>9</v>
      </c>
      <c r="D137" s="65">
        <v>9.9829351535836182</v>
      </c>
      <c r="E137" s="65">
        <v>14.352640545144805</v>
      </c>
      <c r="F137" s="65">
        <v>10.992177850967476</v>
      </c>
      <c r="G137" s="65">
        <f>Общее!H46</f>
        <v>8.88797023563456</v>
      </c>
      <c r="H137" s="65">
        <f>Общее!I46</f>
        <v>5.5849979616795764</v>
      </c>
      <c r="I137" s="65">
        <f>Общее!J46</f>
        <v>6.5731462925851707</v>
      </c>
    </row>
    <row r="138" spans="1:9" x14ac:dyDescent="0.25">
      <c r="A138" s="6"/>
      <c r="B138" s="33" t="s">
        <v>1354</v>
      </c>
      <c r="C138" s="6" t="s">
        <v>9</v>
      </c>
      <c r="D138" s="65">
        <v>7.3207171314741037</v>
      </c>
      <c r="E138" s="65">
        <v>5.621890547263682</v>
      </c>
      <c r="F138" s="65">
        <v>6.4723320158102764</v>
      </c>
      <c r="G138" s="65">
        <f>Общее!H47</f>
        <v>2.9945999018163967</v>
      </c>
      <c r="H138" s="65">
        <f>Общее!I47</f>
        <v>4.3713163064833003</v>
      </c>
      <c r="I138" s="65">
        <f>Общее!J47</f>
        <v>3.1610637230306069</v>
      </c>
    </row>
    <row r="139" spans="1:9" x14ac:dyDescent="0.25">
      <c r="A139" s="6"/>
      <c r="B139" s="33" t="s">
        <v>1352</v>
      </c>
      <c r="C139" s="6" t="s">
        <v>9</v>
      </c>
      <c r="D139" s="65" t="s">
        <v>1500</v>
      </c>
      <c r="E139" s="65" t="s">
        <v>1500</v>
      </c>
      <c r="F139" s="65" t="s">
        <v>1500</v>
      </c>
      <c r="G139" s="65" t="s">
        <v>1500</v>
      </c>
      <c r="H139" s="65" t="s">
        <v>1500</v>
      </c>
      <c r="I139" s="65" t="s">
        <v>1500</v>
      </c>
    </row>
    <row r="140" spans="1:9" x14ac:dyDescent="0.25">
      <c r="A140" s="6"/>
      <c r="B140" s="33" t="s">
        <v>1353</v>
      </c>
      <c r="C140" s="6" t="s">
        <v>9</v>
      </c>
      <c r="D140" s="65" t="s">
        <v>1500</v>
      </c>
      <c r="E140" s="65" t="s">
        <v>1500</v>
      </c>
      <c r="F140" s="65" t="s">
        <v>1500</v>
      </c>
      <c r="G140" s="65" t="s">
        <v>1500</v>
      </c>
      <c r="H140" s="65" t="s">
        <v>1500</v>
      </c>
      <c r="I140" s="65" t="s">
        <v>1500</v>
      </c>
    </row>
    <row r="141" spans="1:9" x14ac:dyDescent="0.25">
      <c r="A141" s="6"/>
      <c r="B141" s="33" t="s">
        <v>1354</v>
      </c>
      <c r="C141" s="6" t="s">
        <v>9</v>
      </c>
      <c r="D141" s="65" t="s">
        <v>1500</v>
      </c>
      <c r="E141" s="65" t="s">
        <v>1500</v>
      </c>
      <c r="F141" s="65" t="s">
        <v>1500</v>
      </c>
      <c r="G141" s="65" t="s">
        <v>1500</v>
      </c>
      <c r="H141" s="65" t="s">
        <v>1500</v>
      </c>
      <c r="I141" s="65" t="s">
        <v>1500</v>
      </c>
    </row>
    <row r="142" spans="1:9" ht="30" x14ac:dyDescent="0.25">
      <c r="A142" s="6" t="s">
        <v>161</v>
      </c>
      <c r="B142" s="33" t="s">
        <v>160</v>
      </c>
      <c r="C142" s="6"/>
      <c r="D142" s="13"/>
      <c r="E142" s="13"/>
      <c r="F142" s="13"/>
      <c r="G142" s="13"/>
      <c r="H142" s="13"/>
      <c r="I142" s="13"/>
    </row>
    <row r="143" spans="1:9" x14ac:dyDescent="0.25">
      <c r="A143" s="6"/>
      <c r="B143" s="33" t="s">
        <v>1345</v>
      </c>
      <c r="C143" s="6" t="s">
        <v>9</v>
      </c>
      <c r="D143" s="65">
        <v>0</v>
      </c>
      <c r="E143" s="65">
        <v>0</v>
      </c>
      <c r="F143" s="65">
        <v>0</v>
      </c>
      <c r="G143" s="65">
        <v>0</v>
      </c>
      <c r="H143" s="65">
        <v>0</v>
      </c>
      <c r="I143" s="65">
        <v>0</v>
      </c>
    </row>
    <row r="144" spans="1:9" x14ac:dyDescent="0.25">
      <c r="A144" s="6"/>
      <c r="B144" s="33" t="s">
        <v>1346</v>
      </c>
      <c r="C144" s="6" t="s">
        <v>9</v>
      </c>
      <c r="D144" s="65" t="s">
        <v>1500</v>
      </c>
      <c r="E144" s="65" t="s">
        <v>1500</v>
      </c>
      <c r="F144" s="65" t="s">
        <v>1500</v>
      </c>
      <c r="G144" s="65" t="s">
        <v>1500</v>
      </c>
      <c r="H144" s="65" t="s">
        <v>1500</v>
      </c>
      <c r="I144" s="65" t="s">
        <v>1500</v>
      </c>
    </row>
    <row r="145" spans="1:9" ht="60" x14ac:dyDescent="0.25">
      <c r="A145" s="9" t="s">
        <v>168</v>
      </c>
      <c r="B145" s="32" t="s">
        <v>164</v>
      </c>
      <c r="C145" s="7"/>
      <c r="D145" s="13"/>
      <c r="E145" s="13"/>
      <c r="F145" s="13"/>
      <c r="G145" s="13"/>
      <c r="H145" s="13"/>
      <c r="I145" s="13"/>
    </row>
    <row r="146" spans="1:9" ht="30" x14ac:dyDescent="0.25">
      <c r="A146" s="6" t="s">
        <v>169</v>
      </c>
      <c r="B146" s="33" t="s">
        <v>165</v>
      </c>
      <c r="C146" s="6"/>
      <c r="D146" s="13"/>
      <c r="E146" s="13"/>
      <c r="F146" s="13"/>
      <c r="G146" s="13"/>
      <c r="H146" s="13"/>
      <c r="I146" s="13"/>
    </row>
    <row r="147" spans="1:9" x14ac:dyDescent="0.25">
      <c r="A147" s="6"/>
      <c r="B147" s="33" t="s">
        <v>1351</v>
      </c>
      <c r="C147" s="6" t="s">
        <v>1076</v>
      </c>
      <c r="D147" s="65">
        <v>7.7437722419928825</v>
      </c>
      <c r="E147" s="65">
        <v>7.9525547445255471</v>
      </c>
      <c r="F147" s="65">
        <v>7.8260105448154658</v>
      </c>
      <c r="G147" s="65">
        <f>Общее!H81</f>
        <v>8.0724637681159415</v>
      </c>
      <c r="H147" s="65">
        <f>Общее!I81</f>
        <v>8.0304114490160998</v>
      </c>
      <c r="I147" s="65">
        <f>Общее!J81</f>
        <v>8.16</v>
      </c>
    </row>
    <row r="148" spans="1:9" x14ac:dyDescent="0.25">
      <c r="A148" s="6"/>
      <c r="B148" s="33" t="s">
        <v>1353</v>
      </c>
      <c r="C148" s="6" t="s">
        <v>1076</v>
      </c>
      <c r="D148" s="65">
        <v>11.004694835680752</v>
      </c>
      <c r="E148" s="65">
        <v>11.623762376237623</v>
      </c>
      <c r="F148" s="65">
        <v>11.297674418604652</v>
      </c>
      <c r="G148" s="65">
        <f>Общее!H82</f>
        <v>11.519047619047619</v>
      </c>
      <c r="H148" s="65">
        <f>Общее!I82</f>
        <v>11.570754716981131</v>
      </c>
      <c r="I148" s="65">
        <f>Общее!J82</f>
        <v>11.188340807174887</v>
      </c>
    </row>
    <row r="149" spans="1:9" x14ac:dyDescent="0.25">
      <c r="A149" s="6"/>
      <c r="B149" s="33" t="s">
        <v>1354</v>
      </c>
      <c r="C149" s="6" t="s">
        <v>1076</v>
      </c>
      <c r="D149" s="65">
        <v>5.7535816618911175</v>
      </c>
      <c r="E149" s="65">
        <v>5.8092485549132951</v>
      </c>
      <c r="F149" s="65">
        <v>5.7175141242937855</v>
      </c>
      <c r="G149" s="65">
        <f>Общее!H83</f>
        <v>5.9561403508771926</v>
      </c>
      <c r="H149" s="65">
        <f>Общее!I83</f>
        <v>5.8674351585014408</v>
      </c>
      <c r="I149" s="65">
        <f>Общее!J83</f>
        <v>6.09480122324159</v>
      </c>
    </row>
    <row r="150" spans="1:9" x14ac:dyDescent="0.25">
      <c r="A150" s="6"/>
      <c r="B150" s="33" t="s">
        <v>1352</v>
      </c>
      <c r="C150" s="6" t="s">
        <v>1076</v>
      </c>
      <c r="D150" s="65" t="s">
        <v>1500</v>
      </c>
      <c r="E150" s="65" t="s">
        <v>1500</v>
      </c>
      <c r="F150" s="65" t="s">
        <v>1500</v>
      </c>
      <c r="G150" s="65" t="s">
        <v>1500</v>
      </c>
      <c r="H150" s="65" t="s">
        <v>1500</v>
      </c>
      <c r="I150" s="65" t="s">
        <v>1500</v>
      </c>
    </row>
    <row r="151" spans="1:9" x14ac:dyDescent="0.25">
      <c r="A151" s="6"/>
      <c r="B151" s="33" t="s">
        <v>1353</v>
      </c>
      <c r="C151" s="6" t="s">
        <v>1076</v>
      </c>
      <c r="D151" s="65" t="s">
        <v>1500</v>
      </c>
      <c r="E151" s="65" t="s">
        <v>1500</v>
      </c>
      <c r="F151" s="65" t="s">
        <v>1500</v>
      </c>
      <c r="G151" s="65" t="s">
        <v>1500</v>
      </c>
      <c r="H151" s="65" t="s">
        <v>1500</v>
      </c>
      <c r="I151" s="65" t="s">
        <v>1500</v>
      </c>
    </row>
    <row r="152" spans="1:9" x14ac:dyDescent="0.25">
      <c r="A152" s="6"/>
      <c r="B152" s="33" t="s">
        <v>1354</v>
      </c>
      <c r="C152" s="6" t="s">
        <v>1076</v>
      </c>
      <c r="D152" s="65" t="s">
        <v>1500</v>
      </c>
      <c r="E152" s="65" t="s">
        <v>1500</v>
      </c>
      <c r="F152" s="65" t="s">
        <v>1500</v>
      </c>
      <c r="G152" s="65" t="s">
        <v>1500</v>
      </c>
      <c r="H152" s="65" t="s">
        <v>1500</v>
      </c>
      <c r="I152" s="65" t="s">
        <v>1500</v>
      </c>
    </row>
    <row r="153" spans="1:9" ht="30" x14ac:dyDescent="0.25">
      <c r="A153" s="6" t="s">
        <v>172</v>
      </c>
      <c r="B153" s="33" t="s">
        <v>171</v>
      </c>
      <c r="C153" s="6"/>
      <c r="D153" s="13"/>
      <c r="E153" s="13"/>
      <c r="F153" s="13"/>
      <c r="G153" s="13"/>
      <c r="H153" s="13"/>
      <c r="I153" s="13"/>
    </row>
    <row r="154" spans="1:9" x14ac:dyDescent="0.25">
      <c r="A154" s="6"/>
      <c r="B154" s="33" t="s">
        <v>1351</v>
      </c>
      <c r="C154" s="6" t="s">
        <v>9</v>
      </c>
      <c r="D154" s="65">
        <v>19.117647058823529</v>
      </c>
      <c r="E154" s="65">
        <v>22.105263157894736</v>
      </c>
      <c r="F154" s="65">
        <v>19.096509240246405</v>
      </c>
      <c r="G154" s="65">
        <f>Общее!H98</f>
        <v>20.689655172413794</v>
      </c>
      <c r="H154" s="65">
        <f>Общее!I98</f>
        <v>21.475054229934923</v>
      </c>
      <c r="I154" s="65">
        <f>Общее!J98</f>
        <v>19.956140350877195</v>
      </c>
    </row>
    <row r="155" spans="1:9" x14ac:dyDescent="0.25">
      <c r="A155" s="6"/>
      <c r="B155" s="33" t="s">
        <v>1353</v>
      </c>
      <c r="C155" s="6" t="s">
        <v>9</v>
      </c>
      <c r="D155" s="65">
        <v>15.343915343915343</v>
      </c>
      <c r="E155" s="65">
        <v>21.195652173913043</v>
      </c>
      <c r="F155" s="65">
        <v>18.134715025906736</v>
      </c>
      <c r="G155" s="65">
        <f>Общее!H99</f>
        <v>20.967741935483872</v>
      </c>
      <c r="H155" s="65">
        <f>Общее!I99</f>
        <v>24.324324324324326</v>
      </c>
      <c r="I155" s="65">
        <f>Общее!J99</f>
        <v>19.170984455958546</v>
      </c>
    </row>
    <row r="156" spans="1:9" x14ac:dyDescent="0.25">
      <c r="A156" s="6"/>
      <c r="B156" s="33" t="s">
        <v>1354</v>
      </c>
      <c r="C156" s="6" t="s">
        <v>9</v>
      </c>
      <c r="D156" s="65">
        <v>21.602787456445995</v>
      </c>
      <c r="E156" s="65">
        <v>22.680412371134022</v>
      </c>
      <c r="F156" s="65">
        <v>19.727891156462583</v>
      </c>
      <c r="G156" s="65">
        <f>Общее!H100</f>
        <v>20.503597122302157</v>
      </c>
      <c r="H156" s="65">
        <f>Общее!I100</f>
        <v>19.565217391304348</v>
      </c>
      <c r="I156" s="65">
        <f>Общее!J100</f>
        <v>20.532319391634982</v>
      </c>
    </row>
    <row r="157" spans="1:9" x14ac:dyDescent="0.25">
      <c r="A157" s="6"/>
      <c r="B157" s="33" t="s">
        <v>1352</v>
      </c>
      <c r="C157" s="6" t="s">
        <v>9</v>
      </c>
      <c r="D157" s="65" t="s">
        <v>1500</v>
      </c>
      <c r="E157" s="65" t="s">
        <v>1500</v>
      </c>
      <c r="F157" s="65" t="s">
        <v>1500</v>
      </c>
      <c r="G157" s="65" t="s">
        <v>1500</v>
      </c>
      <c r="H157" s="65" t="s">
        <v>1500</v>
      </c>
      <c r="I157" s="65" t="s">
        <v>1500</v>
      </c>
    </row>
    <row r="158" spans="1:9" x14ac:dyDescent="0.25">
      <c r="A158" s="6"/>
      <c r="B158" s="33" t="s">
        <v>1353</v>
      </c>
      <c r="C158" s="6" t="s">
        <v>9</v>
      </c>
      <c r="D158" s="65" t="s">
        <v>1500</v>
      </c>
      <c r="E158" s="65" t="s">
        <v>1500</v>
      </c>
      <c r="F158" s="65" t="s">
        <v>1500</v>
      </c>
      <c r="G158" s="65" t="s">
        <v>1500</v>
      </c>
      <c r="H158" s="65" t="s">
        <v>1500</v>
      </c>
      <c r="I158" s="65" t="s">
        <v>1500</v>
      </c>
    </row>
    <row r="159" spans="1:9" x14ac:dyDescent="0.25">
      <c r="A159" s="6"/>
      <c r="B159" s="33" t="s">
        <v>1354</v>
      </c>
      <c r="C159" s="6" t="s">
        <v>9</v>
      </c>
      <c r="D159" s="65" t="s">
        <v>1500</v>
      </c>
      <c r="E159" s="65" t="s">
        <v>1500</v>
      </c>
      <c r="F159" s="65" t="s">
        <v>1500</v>
      </c>
      <c r="G159" s="65" t="s">
        <v>1500</v>
      </c>
      <c r="H159" s="65" t="s">
        <v>1500</v>
      </c>
      <c r="I159" s="65" t="s">
        <v>1500</v>
      </c>
    </row>
    <row r="160" spans="1:9" ht="45" x14ac:dyDescent="0.25">
      <c r="A160" s="72" t="s">
        <v>176</v>
      </c>
      <c r="B160" s="73" t="s">
        <v>1271</v>
      </c>
      <c r="C160" s="72"/>
      <c r="D160" s="77"/>
      <c r="E160" s="77"/>
      <c r="F160" s="77"/>
      <c r="G160" s="77"/>
      <c r="H160" s="77"/>
      <c r="I160" s="77"/>
    </row>
    <row r="161" spans="1:9" x14ac:dyDescent="0.25">
      <c r="A161" s="78"/>
      <c r="B161" s="73" t="s">
        <v>1272</v>
      </c>
      <c r="C161" s="72" t="s">
        <v>9</v>
      </c>
      <c r="D161" s="65" t="s">
        <v>1500</v>
      </c>
      <c r="E161" s="65">
        <v>210012.04417846489</v>
      </c>
      <c r="F161" s="65" t="s">
        <v>1500</v>
      </c>
      <c r="G161" s="65"/>
      <c r="H161" s="65"/>
      <c r="I161" s="65"/>
    </row>
    <row r="162" spans="1:9" x14ac:dyDescent="0.25">
      <c r="A162" s="78"/>
      <c r="B162" s="73" t="s">
        <v>185</v>
      </c>
      <c r="C162" s="72" t="s">
        <v>9</v>
      </c>
      <c r="D162" s="65" t="s">
        <v>1500</v>
      </c>
      <c r="E162" s="65">
        <v>221047.16951745146</v>
      </c>
      <c r="F162" s="65" t="s">
        <v>1500</v>
      </c>
      <c r="G162" s="65"/>
      <c r="H162" s="65"/>
      <c r="I162" s="65"/>
    </row>
    <row r="163" spans="1:9" ht="60" x14ac:dyDescent="0.25">
      <c r="A163" s="9" t="s">
        <v>188</v>
      </c>
      <c r="B163" s="32" t="s">
        <v>187</v>
      </c>
      <c r="C163" s="6"/>
      <c r="D163" s="13"/>
      <c r="E163" s="13"/>
      <c r="F163" s="13"/>
      <c r="G163" s="13"/>
      <c r="H163" s="13"/>
      <c r="I163" s="13"/>
    </row>
    <row r="164" spans="1:9" ht="30" x14ac:dyDescent="0.25">
      <c r="A164" s="6" t="s">
        <v>190</v>
      </c>
      <c r="B164" s="33" t="s">
        <v>189</v>
      </c>
      <c r="C164" s="6"/>
      <c r="D164" s="13"/>
      <c r="E164" s="13"/>
      <c r="F164" s="13"/>
      <c r="G164" s="13"/>
      <c r="H164" s="13"/>
      <c r="I164" s="13"/>
    </row>
    <row r="165" spans="1:9" ht="30" x14ac:dyDescent="0.25">
      <c r="A165" s="6"/>
      <c r="B165" s="33" t="s">
        <v>1351</v>
      </c>
      <c r="C165" s="6" t="s">
        <v>1267</v>
      </c>
      <c r="D165" s="65">
        <v>17.71075873143316</v>
      </c>
      <c r="E165" s="65">
        <v>18.044739869615238</v>
      </c>
      <c r="F165" s="65">
        <v>19.833904236181276</v>
      </c>
      <c r="G165" s="65">
        <f>Общее!H134</f>
        <v>20.271794994382425</v>
      </c>
      <c r="H165" s="65">
        <f>Общее!I134</f>
        <v>20.746202175543885</v>
      </c>
      <c r="I165" s="65">
        <f>Общее!J134</f>
        <v>20.227283388844587</v>
      </c>
    </row>
    <row r="166" spans="1:9" ht="30" x14ac:dyDescent="0.25">
      <c r="A166" s="6"/>
      <c r="B166" s="33" t="s">
        <v>1352</v>
      </c>
      <c r="C166" s="6" t="s">
        <v>1267</v>
      </c>
      <c r="D166" s="65" t="s">
        <v>1500</v>
      </c>
      <c r="E166" s="65" t="s">
        <v>1500</v>
      </c>
      <c r="F166" s="65" t="s">
        <v>1500</v>
      </c>
      <c r="G166" s="65" t="s">
        <v>1500</v>
      </c>
      <c r="H166" s="65" t="s">
        <v>1500</v>
      </c>
      <c r="I166" s="65" t="s">
        <v>1500</v>
      </c>
    </row>
    <row r="167" spans="1:9" ht="30" x14ac:dyDescent="0.25">
      <c r="A167" s="6" t="s">
        <v>210</v>
      </c>
      <c r="B167" s="33" t="s">
        <v>201</v>
      </c>
      <c r="C167" s="6"/>
      <c r="D167" s="13"/>
      <c r="E167" s="13"/>
      <c r="F167" s="13"/>
      <c r="G167" s="13"/>
      <c r="H167" s="13"/>
      <c r="I167" s="13"/>
    </row>
    <row r="168" spans="1:9" x14ac:dyDescent="0.25">
      <c r="A168" s="6"/>
      <c r="B168" s="33" t="s">
        <v>1348</v>
      </c>
      <c r="C168" s="6"/>
      <c r="D168" s="65"/>
      <c r="E168" s="65"/>
      <c r="F168" s="65"/>
      <c r="G168" s="65"/>
      <c r="H168" s="65"/>
      <c r="I168" s="65"/>
    </row>
    <row r="169" spans="1:9" x14ac:dyDescent="0.25">
      <c r="A169" s="6"/>
      <c r="B169" s="33" t="s">
        <v>1351</v>
      </c>
      <c r="C169" s="6" t="s">
        <v>9</v>
      </c>
      <c r="D169" s="65">
        <v>86.956521739130437</v>
      </c>
      <c r="E169" s="65">
        <v>86.36363636363636</v>
      </c>
      <c r="F169" s="65">
        <v>85.714285714285708</v>
      </c>
      <c r="G169" s="65">
        <f>Общее!H154</f>
        <v>95</v>
      </c>
      <c r="H169" s="65">
        <f>Общее!I154</f>
        <v>100</v>
      </c>
      <c r="I169" s="65">
        <f>Общее!J154</f>
        <v>100</v>
      </c>
    </row>
    <row r="170" spans="1:9" x14ac:dyDescent="0.25">
      <c r="A170" s="6"/>
      <c r="B170" s="33" t="s">
        <v>1352</v>
      </c>
      <c r="C170" s="6" t="s">
        <v>9</v>
      </c>
      <c r="D170" s="65" t="s">
        <v>1500</v>
      </c>
      <c r="E170" s="65" t="s">
        <v>1500</v>
      </c>
      <c r="F170" s="65" t="s">
        <v>1500</v>
      </c>
      <c r="G170" s="65" t="s">
        <v>1500</v>
      </c>
      <c r="H170" s="65" t="s">
        <v>1500</v>
      </c>
      <c r="I170" s="65" t="s">
        <v>1500</v>
      </c>
    </row>
    <row r="171" spans="1:9" x14ac:dyDescent="0.25">
      <c r="A171" s="6"/>
      <c r="B171" s="33" t="s">
        <v>1349</v>
      </c>
      <c r="C171" s="6"/>
      <c r="D171" s="65"/>
      <c r="E171" s="65"/>
      <c r="F171" s="65"/>
      <c r="G171" s="65"/>
      <c r="H171" s="65"/>
      <c r="I171" s="65"/>
    </row>
    <row r="172" spans="1:9" x14ac:dyDescent="0.25">
      <c r="A172" s="6"/>
      <c r="B172" s="33" t="s">
        <v>1351</v>
      </c>
      <c r="C172" s="6" t="s">
        <v>9</v>
      </c>
      <c r="D172" s="65">
        <v>95.652173913043484</v>
      </c>
      <c r="E172" s="65">
        <v>95.454545454545453</v>
      </c>
      <c r="F172" s="65">
        <v>95.238095238095227</v>
      </c>
      <c r="G172" s="65">
        <f>Общее!H157</f>
        <v>95</v>
      </c>
      <c r="H172" s="65">
        <f>Общее!I157</f>
        <v>100</v>
      </c>
      <c r="I172" s="65">
        <f>Общее!J157</f>
        <v>100</v>
      </c>
    </row>
    <row r="173" spans="1:9" x14ac:dyDescent="0.25">
      <c r="A173" s="6"/>
      <c r="B173" s="33" t="s">
        <v>1352</v>
      </c>
      <c r="C173" s="6" t="s">
        <v>9</v>
      </c>
      <c r="D173" s="65" t="s">
        <v>1500</v>
      </c>
      <c r="E173" s="65" t="s">
        <v>1500</v>
      </c>
      <c r="F173" s="65" t="s">
        <v>1500</v>
      </c>
      <c r="G173" s="65" t="s">
        <v>1500</v>
      </c>
      <c r="H173" s="65" t="s">
        <v>1500</v>
      </c>
      <c r="I173" s="65" t="s">
        <v>1500</v>
      </c>
    </row>
    <row r="174" spans="1:9" x14ac:dyDescent="0.25">
      <c r="A174" s="6"/>
      <c r="B174" s="33" t="s">
        <v>1350</v>
      </c>
      <c r="C174" s="6"/>
      <c r="D174" s="13"/>
      <c r="E174" s="13"/>
      <c r="F174" s="13"/>
      <c r="G174" s="13"/>
      <c r="H174" s="13"/>
      <c r="I174" s="13"/>
    </row>
    <row r="175" spans="1:9" x14ac:dyDescent="0.25">
      <c r="A175" s="6"/>
      <c r="B175" s="33" t="s">
        <v>1351</v>
      </c>
      <c r="C175" s="6" t="s">
        <v>9</v>
      </c>
      <c r="D175" s="65">
        <v>91.304347826086953</v>
      </c>
      <c r="E175" s="65">
        <v>90.909090909090907</v>
      </c>
      <c r="F175" s="65">
        <v>90.476190476190482</v>
      </c>
      <c r="G175" s="65">
        <f>Общее!H160</f>
        <v>95</v>
      </c>
      <c r="H175" s="65">
        <f>Общее!I160</f>
        <v>100</v>
      </c>
      <c r="I175" s="65">
        <f>Общее!J160</f>
        <v>100</v>
      </c>
    </row>
    <row r="176" spans="1:9" x14ac:dyDescent="0.25">
      <c r="A176" s="6"/>
      <c r="B176" s="33" t="s">
        <v>1352</v>
      </c>
      <c r="C176" s="6" t="s">
        <v>9</v>
      </c>
      <c r="D176" s="65" t="s">
        <v>1500</v>
      </c>
      <c r="E176" s="65" t="s">
        <v>1500</v>
      </c>
      <c r="F176" s="65" t="s">
        <v>1500</v>
      </c>
      <c r="G176" s="65" t="s">
        <v>1500</v>
      </c>
      <c r="H176" s="65" t="s">
        <v>1500</v>
      </c>
      <c r="I176" s="65" t="s">
        <v>1500</v>
      </c>
    </row>
    <row r="177" spans="1:9" ht="30" x14ac:dyDescent="0.25">
      <c r="A177" s="6" t="s">
        <v>211</v>
      </c>
      <c r="B177" s="33" t="s">
        <v>219</v>
      </c>
      <c r="C177" s="6"/>
      <c r="D177" s="13"/>
      <c r="E177" s="13"/>
      <c r="F177" s="13"/>
      <c r="G177" s="13"/>
      <c r="H177" s="13"/>
      <c r="I177" s="13"/>
    </row>
    <row r="178" spans="1:9" x14ac:dyDescent="0.25">
      <c r="A178" s="22"/>
      <c r="B178" s="33" t="s">
        <v>1355</v>
      </c>
      <c r="C178" s="6"/>
      <c r="D178" s="13"/>
      <c r="E178" s="13"/>
      <c r="F178" s="13"/>
      <c r="G178" s="13"/>
      <c r="H178" s="13"/>
      <c r="I178" s="13"/>
    </row>
    <row r="179" spans="1:9" x14ac:dyDescent="0.25">
      <c r="A179" s="22"/>
      <c r="B179" s="33" t="s">
        <v>1351</v>
      </c>
      <c r="C179" s="6" t="s">
        <v>1268</v>
      </c>
      <c r="D179" s="65">
        <v>18.458740622868834</v>
      </c>
      <c r="E179" s="65">
        <v>21.122262773722628</v>
      </c>
      <c r="F179" s="65">
        <v>22.846943328871038</v>
      </c>
      <c r="G179" s="65">
        <f>Общее!H186</f>
        <v>27.066161728670085</v>
      </c>
      <c r="H179" s="65">
        <f>Общее!I186</f>
        <v>28.172757475083053</v>
      </c>
      <c r="I179" s="65">
        <f>Общее!J186</f>
        <v>28.23581560283688</v>
      </c>
    </row>
    <row r="180" spans="1:9" x14ac:dyDescent="0.25">
      <c r="A180" s="22"/>
      <c r="B180" s="33" t="s">
        <v>1352</v>
      </c>
      <c r="C180" s="6" t="s">
        <v>1268</v>
      </c>
      <c r="D180" s="65" t="s">
        <v>1500</v>
      </c>
      <c r="E180" s="65" t="s">
        <v>1500</v>
      </c>
      <c r="F180" s="65" t="s">
        <v>1500</v>
      </c>
      <c r="G180" s="65" t="s">
        <v>1500</v>
      </c>
      <c r="H180" s="65" t="s">
        <v>1500</v>
      </c>
      <c r="I180" s="65" t="s">
        <v>1500</v>
      </c>
    </row>
    <row r="181" spans="1:9" x14ac:dyDescent="0.25">
      <c r="A181" s="22"/>
      <c r="B181" s="33" t="s">
        <v>1356</v>
      </c>
      <c r="C181" s="6"/>
      <c r="D181" s="13"/>
      <c r="E181" s="13"/>
      <c r="F181" s="13"/>
      <c r="G181" s="13"/>
      <c r="H181" s="13"/>
      <c r="I181" s="13"/>
    </row>
    <row r="182" spans="1:9" x14ac:dyDescent="0.25">
      <c r="A182" s="22"/>
      <c r="B182" s="33" t="s">
        <v>1351</v>
      </c>
      <c r="C182" s="6" t="s">
        <v>1268</v>
      </c>
      <c r="D182" s="65">
        <v>12.752898385996817</v>
      </c>
      <c r="E182" s="65">
        <v>14.416058394160583</v>
      </c>
      <c r="F182" s="65">
        <v>13.989290495314592</v>
      </c>
      <c r="G182" s="65">
        <f>Общее!H189</f>
        <v>17.39808420583649</v>
      </c>
      <c r="H182" s="65">
        <f>Общее!I189</f>
        <v>18.095238095238095</v>
      </c>
      <c r="I182" s="65">
        <f>Общее!J189</f>
        <v>17.974290780141843</v>
      </c>
    </row>
    <row r="183" spans="1:9" x14ac:dyDescent="0.25">
      <c r="A183" s="22"/>
      <c r="B183" s="33" t="s">
        <v>1352</v>
      </c>
      <c r="C183" s="6" t="s">
        <v>1268</v>
      </c>
      <c r="D183" s="65" t="s">
        <v>1500</v>
      </c>
      <c r="E183" s="65" t="s">
        <v>1500</v>
      </c>
      <c r="F183" s="65" t="s">
        <v>1500</v>
      </c>
      <c r="G183" s="65" t="s">
        <v>1500</v>
      </c>
      <c r="H183" s="65" t="s">
        <v>1500</v>
      </c>
      <c r="I183" s="65" t="s">
        <v>1500</v>
      </c>
    </row>
    <row r="184" spans="1:9" ht="45" x14ac:dyDescent="0.25">
      <c r="A184" s="6" t="s">
        <v>222</v>
      </c>
      <c r="B184" s="33" t="s">
        <v>221</v>
      </c>
      <c r="C184" s="6"/>
      <c r="D184" s="13"/>
      <c r="E184" s="13"/>
      <c r="F184" s="13"/>
      <c r="G184" s="13"/>
      <c r="H184" s="13"/>
      <c r="I184" s="13"/>
    </row>
    <row r="185" spans="1:9" x14ac:dyDescent="0.25">
      <c r="A185" s="6"/>
      <c r="B185" s="33" t="s">
        <v>1351</v>
      </c>
      <c r="C185" s="6" t="s">
        <v>9</v>
      </c>
      <c r="D185" s="65">
        <v>21.739130434782609</v>
      </c>
      <c r="E185" s="65">
        <v>27.27272727272727</v>
      </c>
      <c r="F185" s="65">
        <v>47.619047619047613</v>
      </c>
      <c r="G185" s="65">
        <f>Общее!H205</f>
        <v>75</v>
      </c>
      <c r="H185" s="65">
        <f>Общее!I205</f>
        <v>100</v>
      </c>
      <c r="I185" s="65">
        <f>Общее!J205</f>
        <v>100</v>
      </c>
    </row>
    <row r="186" spans="1:9" x14ac:dyDescent="0.25">
      <c r="A186" s="6"/>
      <c r="B186" s="33" t="s">
        <v>1352</v>
      </c>
      <c r="C186" s="6" t="s">
        <v>9</v>
      </c>
      <c r="D186" s="65" t="s">
        <v>1500</v>
      </c>
      <c r="E186" s="65" t="s">
        <v>1500</v>
      </c>
      <c r="F186" s="65" t="s">
        <v>1500</v>
      </c>
      <c r="G186" s="65" t="s">
        <v>1500</v>
      </c>
      <c r="H186" s="65" t="s">
        <v>1500</v>
      </c>
      <c r="I186" s="65" t="s">
        <v>1500</v>
      </c>
    </row>
    <row r="187" spans="1:9" ht="45" x14ac:dyDescent="0.25">
      <c r="A187" s="9" t="s">
        <v>232</v>
      </c>
      <c r="B187" s="32" t="s">
        <v>227</v>
      </c>
      <c r="C187" s="7"/>
      <c r="D187" s="13"/>
      <c r="E187" s="13"/>
      <c r="F187" s="13"/>
      <c r="G187" s="13"/>
      <c r="H187" s="13"/>
      <c r="I187" s="13"/>
    </row>
    <row r="188" spans="1:9" ht="75" x14ac:dyDescent="0.25">
      <c r="A188" s="6" t="s">
        <v>231</v>
      </c>
      <c r="B188" s="33" t="s">
        <v>228</v>
      </c>
      <c r="C188" s="6"/>
      <c r="D188" s="13"/>
      <c r="E188" s="13"/>
      <c r="F188" s="13"/>
      <c r="G188" s="13"/>
      <c r="H188" s="13"/>
      <c r="I188" s="13"/>
    </row>
    <row r="189" spans="1:9" x14ac:dyDescent="0.25">
      <c r="A189" s="6"/>
      <c r="B189" s="33" t="s">
        <v>1351</v>
      </c>
      <c r="C189" s="6" t="s">
        <v>9</v>
      </c>
      <c r="D189" s="65">
        <v>100</v>
      </c>
      <c r="E189" s="65">
        <v>100</v>
      </c>
      <c r="F189" s="65">
        <v>72.41379310344827</v>
      </c>
      <c r="G189" s="65">
        <f>Общее!H220</f>
        <v>100</v>
      </c>
      <c r="H189" s="65">
        <f>Общее!I220</f>
        <v>100</v>
      </c>
      <c r="I189" s="65">
        <f>Общее!J220</f>
        <v>100</v>
      </c>
    </row>
    <row r="190" spans="1:9" x14ac:dyDescent="0.25">
      <c r="A190" s="6"/>
      <c r="B190" s="33" t="s">
        <v>1353</v>
      </c>
      <c r="C190" s="6" t="s">
        <v>9</v>
      </c>
      <c r="D190" s="65">
        <v>100</v>
      </c>
      <c r="E190" s="65">
        <v>100</v>
      </c>
      <c r="F190" s="65">
        <v>100</v>
      </c>
      <c r="G190" s="65">
        <f>Общее!H221</f>
        <v>100</v>
      </c>
      <c r="H190" s="65">
        <f>Общее!I221</f>
        <v>100</v>
      </c>
      <c r="I190" s="65">
        <f>Общее!J221</f>
        <v>100</v>
      </c>
    </row>
    <row r="191" spans="1:9" x14ac:dyDescent="0.25">
      <c r="A191" s="6"/>
      <c r="B191" s="33" t="s">
        <v>1354</v>
      </c>
      <c r="C191" s="6" t="s">
        <v>9</v>
      </c>
      <c r="D191" s="65">
        <v>100</v>
      </c>
      <c r="E191" s="65" t="s">
        <v>1500</v>
      </c>
      <c r="F191" s="65">
        <v>42.857142857142854</v>
      </c>
      <c r="G191" s="65">
        <f>Общее!H222</f>
        <v>100</v>
      </c>
      <c r="H191" s="65">
        <f>Общее!I222</f>
        <v>100</v>
      </c>
      <c r="I191" s="65">
        <f>Общее!J222</f>
        <v>100</v>
      </c>
    </row>
    <row r="192" spans="1:9" x14ac:dyDescent="0.25">
      <c r="A192" s="6"/>
      <c r="B192" s="33" t="s">
        <v>1352</v>
      </c>
      <c r="C192" s="6" t="s">
        <v>9</v>
      </c>
      <c r="D192" s="65" t="s">
        <v>1500</v>
      </c>
      <c r="E192" s="65" t="s">
        <v>1500</v>
      </c>
      <c r="F192" s="65" t="s">
        <v>1500</v>
      </c>
      <c r="G192" s="65" t="s">
        <v>1500</v>
      </c>
      <c r="H192" s="65" t="s">
        <v>1500</v>
      </c>
      <c r="I192" s="65" t="s">
        <v>1500</v>
      </c>
    </row>
    <row r="193" spans="1:9" x14ac:dyDescent="0.25">
      <c r="A193" s="6"/>
      <c r="B193" s="33" t="s">
        <v>1353</v>
      </c>
      <c r="C193" s="6" t="s">
        <v>9</v>
      </c>
      <c r="D193" s="65" t="s">
        <v>1500</v>
      </c>
      <c r="E193" s="65" t="s">
        <v>1500</v>
      </c>
      <c r="F193" s="65" t="s">
        <v>1500</v>
      </c>
      <c r="G193" s="65" t="s">
        <v>1500</v>
      </c>
      <c r="H193" s="65" t="s">
        <v>1500</v>
      </c>
      <c r="I193" s="65" t="s">
        <v>1500</v>
      </c>
    </row>
    <row r="194" spans="1:9" x14ac:dyDescent="0.25">
      <c r="A194" s="6"/>
      <c r="B194" s="33" t="s">
        <v>1354</v>
      </c>
      <c r="C194" s="6" t="s">
        <v>9</v>
      </c>
      <c r="D194" s="65" t="s">
        <v>1500</v>
      </c>
      <c r="E194" s="65" t="s">
        <v>1500</v>
      </c>
      <c r="F194" s="65" t="s">
        <v>1500</v>
      </c>
      <c r="G194" s="65" t="s">
        <v>1500</v>
      </c>
      <c r="H194" s="65" t="s">
        <v>1500</v>
      </c>
      <c r="I194" s="65" t="s">
        <v>1500</v>
      </c>
    </row>
    <row r="195" spans="1:9" ht="60" x14ac:dyDescent="0.25">
      <c r="A195" s="6" t="s">
        <v>234</v>
      </c>
      <c r="B195" s="33" t="s">
        <v>233</v>
      </c>
      <c r="C195" s="6"/>
      <c r="D195" s="13"/>
      <c r="E195" s="13"/>
      <c r="F195" s="13"/>
      <c r="G195" s="13"/>
      <c r="H195" s="13"/>
      <c r="I195" s="13"/>
    </row>
    <row r="196" spans="1:9" x14ac:dyDescent="0.25">
      <c r="A196" s="6"/>
      <c r="B196" s="33" t="s">
        <v>1351</v>
      </c>
      <c r="C196" s="6" t="s">
        <v>9</v>
      </c>
      <c r="D196" s="65">
        <v>100</v>
      </c>
      <c r="E196" s="65">
        <v>100</v>
      </c>
      <c r="F196" s="65">
        <v>100</v>
      </c>
      <c r="G196" s="65">
        <f>Общее!H239</f>
        <v>100</v>
      </c>
      <c r="H196" s="65">
        <f>Общее!I239</f>
        <v>100</v>
      </c>
      <c r="I196" s="65">
        <f>Общее!J239</f>
        <v>100</v>
      </c>
    </row>
    <row r="197" spans="1:9" x14ac:dyDescent="0.25">
      <c r="A197" s="6"/>
      <c r="B197" s="33" t="s">
        <v>1353</v>
      </c>
      <c r="C197" s="6" t="s">
        <v>9</v>
      </c>
      <c r="D197" s="65">
        <v>100</v>
      </c>
      <c r="E197" s="65">
        <v>100</v>
      </c>
      <c r="F197" s="65">
        <v>100</v>
      </c>
      <c r="G197" s="65">
        <f>Общее!H240</f>
        <v>100</v>
      </c>
      <c r="H197" s="65">
        <f>Общее!I240</f>
        <v>100</v>
      </c>
      <c r="I197" s="65">
        <f>Общее!J240</f>
        <v>100</v>
      </c>
    </row>
    <row r="198" spans="1:9" x14ac:dyDescent="0.25">
      <c r="A198" s="6"/>
      <c r="B198" s="33" t="s">
        <v>1354</v>
      </c>
      <c r="C198" s="6" t="s">
        <v>9</v>
      </c>
      <c r="D198" s="65">
        <v>100</v>
      </c>
      <c r="E198" s="65">
        <v>100</v>
      </c>
      <c r="F198" s="65">
        <v>100</v>
      </c>
      <c r="G198" s="65">
        <f>Общее!H241</f>
        <v>100</v>
      </c>
      <c r="H198" s="65">
        <f>Общее!I241</f>
        <v>100</v>
      </c>
      <c r="I198" s="65">
        <f>Общее!J241</f>
        <v>100</v>
      </c>
    </row>
    <row r="199" spans="1:9" x14ac:dyDescent="0.25">
      <c r="A199" s="6"/>
      <c r="B199" s="33" t="s">
        <v>1352</v>
      </c>
      <c r="C199" s="6" t="s">
        <v>9</v>
      </c>
      <c r="D199" s="65" t="s">
        <v>1500</v>
      </c>
      <c r="E199" s="65" t="s">
        <v>1500</v>
      </c>
      <c r="F199" s="65" t="s">
        <v>1500</v>
      </c>
      <c r="G199" s="65" t="s">
        <v>1500</v>
      </c>
      <c r="H199" s="65" t="s">
        <v>1500</v>
      </c>
      <c r="I199" s="65" t="s">
        <v>1500</v>
      </c>
    </row>
    <row r="200" spans="1:9" x14ac:dyDescent="0.25">
      <c r="A200" s="6"/>
      <c r="B200" s="33" t="s">
        <v>1353</v>
      </c>
      <c r="C200" s="6" t="s">
        <v>9</v>
      </c>
      <c r="D200" s="65" t="s">
        <v>1500</v>
      </c>
      <c r="E200" s="65" t="s">
        <v>1500</v>
      </c>
      <c r="F200" s="65" t="s">
        <v>1500</v>
      </c>
      <c r="G200" s="65" t="s">
        <v>1500</v>
      </c>
      <c r="H200" s="65" t="s">
        <v>1500</v>
      </c>
      <c r="I200" s="65" t="s">
        <v>1500</v>
      </c>
    </row>
    <row r="201" spans="1:9" x14ac:dyDescent="0.25">
      <c r="A201" s="6"/>
      <c r="B201" s="33" t="s">
        <v>1354</v>
      </c>
      <c r="C201" s="6" t="s">
        <v>9</v>
      </c>
      <c r="D201" s="65" t="s">
        <v>1500</v>
      </c>
      <c r="E201" s="65" t="s">
        <v>1500</v>
      </c>
      <c r="F201" s="65" t="s">
        <v>1500</v>
      </c>
      <c r="G201" s="65" t="s">
        <v>1500</v>
      </c>
      <c r="H201" s="65" t="s">
        <v>1500</v>
      </c>
      <c r="I201" s="65" t="s">
        <v>1500</v>
      </c>
    </row>
    <row r="202" spans="1:9" ht="75" x14ac:dyDescent="0.25">
      <c r="A202" s="11" t="s">
        <v>1477</v>
      </c>
      <c r="B202" s="64" t="s">
        <v>1478</v>
      </c>
      <c r="C202" s="11"/>
      <c r="D202" s="105"/>
      <c r="E202" s="105"/>
      <c r="F202" s="105"/>
      <c r="G202" s="105"/>
      <c r="H202" s="105"/>
      <c r="I202" s="105"/>
    </row>
    <row r="203" spans="1:9" x14ac:dyDescent="0.25">
      <c r="A203" s="11"/>
      <c r="B203" s="64" t="s">
        <v>1459</v>
      </c>
      <c r="C203" s="11" t="s">
        <v>9</v>
      </c>
      <c r="D203" s="105"/>
      <c r="E203" s="105"/>
      <c r="F203" s="105"/>
      <c r="G203" s="105"/>
      <c r="H203" s="105"/>
      <c r="I203" s="105"/>
    </row>
    <row r="204" spans="1:9" x14ac:dyDescent="0.25">
      <c r="A204" s="11"/>
      <c r="B204" s="64" t="s">
        <v>1460</v>
      </c>
      <c r="C204" s="11" t="s">
        <v>9</v>
      </c>
      <c r="D204" s="105"/>
      <c r="E204" s="105"/>
      <c r="F204" s="105"/>
      <c r="G204" s="105"/>
      <c r="H204" s="105"/>
      <c r="I204" s="105"/>
    </row>
    <row r="205" spans="1:9" x14ac:dyDescent="0.25">
      <c r="A205" s="11"/>
      <c r="B205" s="64" t="s">
        <v>1461</v>
      </c>
      <c r="C205" s="11" t="s">
        <v>9</v>
      </c>
      <c r="D205" s="105"/>
      <c r="E205" s="105"/>
      <c r="F205" s="105"/>
      <c r="G205" s="105"/>
      <c r="H205" s="105"/>
      <c r="I205" s="105"/>
    </row>
    <row r="206" spans="1:9" x14ac:dyDescent="0.25">
      <c r="A206" s="11"/>
      <c r="B206" s="64" t="s">
        <v>1462</v>
      </c>
      <c r="C206" s="11" t="s">
        <v>9</v>
      </c>
      <c r="D206" s="105"/>
      <c r="E206" s="105"/>
      <c r="F206" s="105"/>
      <c r="G206" s="105"/>
      <c r="H206" s="105"/>
      <c r="I206" s="105"/>
    </row>
    <row r="207" spans="1:9" x14ac:dyDescent="0.25">
      <c r="A207" s="11"/>
      <c r="B207" s="64" t="s">
        <v>1463</v>
      </c>
      <c r="C207" s="11" t="s">
        <v>9</v>
      </c>
      <c r="D207" s="105"/>
      <c r="E207" s="105"/>
      <c r="F207" s="105"/>
      <c r="G207" s="105"/>
      <c r="H207" s="105"/>
      <c r="I207" s="105"/>
    </row>
    <row r="208" spans="1:9" x14ac:dyDescent="0.25">
      <c r="A208" s="11"/>
      <c r="B208" s="64" t="s">
        <v>1464</v>
      </c>
      <c r="C208" s="11" t="s">
        <v>9</v>
      </c>
      <c r="D208" s="105"/>
      <c r="E208" s="105"/>
      <c r="F208" s="105"/>
      <c r="G208" s="105"/>
      <c r="H208" s="105"/>
      <c r="I208" s="105"/>
    </row>
    <row r="209" spans="1:9" x14ac:dyDescent="0.25">
      <c r="A209" s="11"/>
      <c r="B209" s="64" t="s">
        <v>1465</v>
      </c>
      <c r="C209" s="11" t="s">
        <v>9</v>
      </c>
      <c r="D209" s="105"/>
      <c r="E209" s="105"/>
      <c r="F209" s="105"/>
      <c r="G209" s="105"/>
      <c r="H209" s="105"/>
      <c r="I209" s="105"/>
    </row>
    <row r="210" spans="1:9" x14ac:dyDescent="0.25">
      <c r="A210" s="11"/>
      <c r="B210" s="64" t="s">
        <v>1466</v>
      </c>
      <c r="C210" s="11" t="s">
        <v>9</v>
      </c>
      <c r="D210" s="105"/>
      <c r="E210" s="105"/>
      <c r="F210" s="105"/>
      <c r="G210" s="105"/>
      <c r="H210" s="105"/>
      <c r="I210" s="105"/>
    </row>
    <row r="211" spans="1:9" x14ac:dyDescent="0.25">
      <c r="A211" s="11"/>
      <c r="B211" s="64" t="s">
        <v>1467</v>
      </c>
      <c r="C211" s="11" t="s">
        <v>9</v>
      </c>
      <c r="D211" s="105"/>
      <c r="E211" s="105"/>
      <c r="F211" s="105"/>
      <c r="G211" s="105"/>
      <c r="H211" s="105"/>
      <c r="I211" s="105"/>
    </row>
    <row r="212" spans="1:9" ht="60" x14ac:dyDescent="0.25">
      <c r="A212" s="11" t="s">
        <v>1479</v>
      </c>
      <c r="B212" s="64" t="s">
        <v>1480</v>
      </c>
      <c r="C212" s="11"/>
      <c r="D212" s="105"/>
      <c r="E212" s="105"/>
      <c r="F212" s="105"/>
      <c r="G212" s="105"/>
      <c r="H212" s="105"/>
      <c r="I212" s="105"/>
    </row>
    <row r="213" spans="1:9" x14ac:dyDescent="0.25">
      <c r="A213" s="11"/>
      <c r="B213" s="64" t="s">
        <v>1459</v>
      </c>
      <c r="C213" s="11" t="s">
        <v>9</v>
      </c>
      <c r="D213" s="105"/>
      <c r="E213" s="105"/>
      <c r="F213" s="105"/>
      <c r="G213" s="105"/>
      <c r="H213" s="105"/>
      <c r="I213" s="105"/>
    </row>
    <row r="214" spans="1:9" x14ac:dyDescent="0.25">
      <c r="A214" s="11"/>
      <c r="B214" s="64" t="s">
        <v>1460</v>
      </c>
      <c r="C214" s="11" t="s">
        <v>9</v>
      </c>
      <c r="D214" s="105"/>
      <c r="E214" s="105"/>
      <c r="F214" s="105"/>
      <c r="G214" s="105"/>
      <c r="H214" s="105"/>
      <c r="I214" s="105"/>
    </row>
    <row r="215" spans="1:9" x14ac:dyDescent="0.25">
      <c r="A215" s="11"/>
      <c r="B215" s="64" t="s">
        <v>1461</v>
      </c>
      <c r="C215" s="11" t="s">
        <v>9</v>
      </c>
      <c r="D215" s="105"/>
      <c r="E215" s="105"/>
      <c r="F215" s="105"/>
      <c r="G215" s="105"/>
      <c r="H215" s="105"/>
      <c r="I215" s="105"/>
    </row>
    <row r="216" spans="1:9" x14ac:dyDescent="0.25">
      <c r="A216" s="11"/>
      <c r="B216" s="64" t="s">
        <v>1462</v>
      </c>
      <c r="C216" s="11" t="s">
        <v>9</v>
      </c>
      <c r="D216" s="105"/>
      <c r="E216" s="105"/>
      <c r="F216" s="105"/>
      <c r="G216" s="105"/>
      <c r="H216" s="105"/>
      <c r="I216" s="105"/>
    </row>
    <row r="217" spans="1:9" x14ac:dyDescent="0.25">
      <c r="A217" s="11"/>
      <c r="B217" s="64" t="s">
        <v>1463</v>
      </c>
      <c r="C217" s="11" t="s">
        <v>9</v>
      </c>
      <c r="D217" s="105"/>
      <c r="E217" s="105"/>
      <c r="F217" s="105"/>
      <c r="G217" s="105"/>
      <c r="H217" s="105"/>
      <c r="I217" s="105"/>
    </row>
    <row r="218" spans="1:9" x14ac:dyDescent="0.25">
      <c r="A218" s="11"/>
      <c r="B218" s="64" t="s">
        <v>1464</v>
      </c>
      <c r="C218" s="11" t="s">
        <v>9</v>
      </c>
      <c r="D218" s="105"/>
      <c r="E218" s="105"/>
      <c r="F218" s="105"/>
      <c r="G218" s="105"/>
      <c r="H218" s="105"/>
      <c r="I218" s="105"/>
    </row>
    <row r="219" spans="1:9" x14ac:dyDescent="0.25">
      <c r="A219" s="11"/>
      <c r="B219" s="64" t="s">
        <v>1465</v>
      </c>
      <c r="C219" s="11" t="s">
        <v>9</v>
      </c>
      <c r="D219" s="105"/>
      <c r="E219" s="105"/>
      <c r="F219" s="105"/>
      <c r="G219" s="105"/>
      <c r="H219" s="105"/>
      <c r="I219" s="105"/>
    </row>
    <row r="220" spans="1:9" x14ac:dyDescent="0.25">
      <c r="A220" s="11"/>
      <c r="B220" s="64" t="s">
        <v>1466</v>
      </c>
      <c r="C220" s="11" t="s">
        <v>9</v>
      </c>
      <c r="D220" s="105"/>
      <c r="E220" s="105"/>
      <c r="F220" s="105"/>
      <c r="G220" s="105"/>
      <c r="H220" s="105"/>
      <c r="I220" s="105"/>
    </row>
    <row r="221" spans="1:9" x14ac:dyDescent="0.25">
      <c r="A221" s="11"/>
      <c r="B221" s="64" t="s">
        <v>1467</v>
      </c>
      <c r="C221" s="11" t="s">
        <v>9</v>
      </c>
      <c r="D221" s="105"/>
      <c r="E221" s="105"/>
      <c r="F221" s="105"/>
      <c r="G221" s="105"/>
      <c r="H221" s="105"/>
      <c r="I221" s="105"/>
    </row>
    <row r="222" spans="1:9" ht="45" x14ac:dyDescent="0.25">
      <c r="A222" s="11" t="s">
        <v>1481</v>
      </c>
      <c r="B222" s="64" t="s">
        <v>1482</v>
      </c>
      <c r="C222" s="11"/>
      <c r="D222" s="105"/>
      <c r="E222" s="105"/>
      <c r="F222" s="105"/>
      <c r="G222" s="105"/>
      <c r="H222" s="105"/>
      <c r="I222" s="105"/>
    </row>
    <row r="223" spans="1:9" x14ac:dyDescent="0.25">
      <c r="A223" s="11"/>
      <c r="B223" s="64" t="s">
        <v>1483</v>
      </c>
      <c r="C223" s="11" t="s">
        <v>9</v>
      </c>
      <c r="D223" s="105"/>
      <c r="E223" s="105"/>
      <c r="F223" s="105"/>
      <c r="G223" s="105"/>
      <c r="H223" s="105"/>
      <c r="I223" s="105"/>
    </row>
    <row r="224" spans="1:9" x14ac:dyDescent="0.25">
      <c r="A224" s="11"/>
      <c r="B224" s="64" t="s">
        <v>1488</v>
      </c>
      <c r="C224" s="11" t="s">
        <v>9</v>
      </c>
      <c r="D224" s="105"/>
      <c r="E224" s="105"/>
      <c r="F224" s="105"/>
      <c r="G224" s="105"/>
      <c r="H224" s="105"/>
      <c r="I224" s="105"/>
    </row>
    <row r="225" spans="1:9" x14ac:dyDescent="0.25">
      <c r="A225" s="11"/>
      <c r="B225" s="64" t="s">
        <v>1484</v>
      </c>
      <c r="C225" s="11" t="s">
        <v>9</v>
      </c>
      <c r="D225" s="105"/>
      <c r="E225" s="105"/>
      <c r="F225" s="105"/>
      <c r="G225" s="105"/>
      <c r="H225" s="105"/>
      <c r="I225" s="105"/>
    </row>
    <row r="226" spans="1:9" x14ac:dyDescent="0.25">
      <c r="A226" s="11"/>
      <c r="B226" s="64" t="s">
        <v>1485</v>
      </c>
      <c r="C226" s="11" t="s">
        <v>9</v>
      </c>
      <c r="D226" s="105"/>
      <c r="E226" s="105"/>
      <c r="F226" s="105"/>
      <c r="G226" s="105"/>
      <c r="H226" s="105"/>
      <c r="I226" s="105"/>
    </row>
    <row r="227" spans="1:9" x14ac:dyDescent="0.25">
      <c r="A227" s="11"/>
      <c r="B227" s="64" t="s">
        <v>1486</v>
      </c>
      <c r="C227" s="11" t="s">
        <v>9</v>
      </c>
      <c r="D227" s="105"/>
      <c r="E227" s="105"/>
      <c r="F227" s="105"/>
      <c r="G227" s="105"/>
      <c r="H227" s="105"/>
      <c r="I227" s="105"/>
    </row>
    <row r="228" spans="1:9" x14ac:dyDescent="0.25">
      <c r="A228" s="11"/>
      <c r="B228" s="64" t="s">
        <v>1487</v>
      </c>
      <c r="C228" s="11" t="s">
        <v>9</v>
      </c>
      <c r="D228" s="105"/>
      <c r="E228" s="105"/>
      <c r="F228" s="105"/>
      <c r="G228" s="105"/>
      <c r="H228" s="105"/>
      <c r="I228" s="105"/>
    </row>
    <row r="229" spans="1:9" ht="45" x14ac:dyDescent="0.25">
      <c r="A229" s="9" t="s">
        <v>237</v>
      </c>
      <c r="B229" s="32" t="s">
        <v>238</v>
      </c>
      <c r="C229" s="7"/>
      <c r="D229" s="13"/>
      <c r="E229" s="13"/>
      <c r="F229" s="13"/>
      <c r="G229" s="13"/>
      <c r="H229" s="13"/>
      <c r="I229" s="13"/>
    </row>
    <row r="230" spans="1:9" ht="60" x14ac:dyDescent="0.25">
      <c r="A230" s="11" t="s">
        <v>240</v>
      </c>
      <c r="B230" s="20" t="s">
        <v>1517</v>
      </c>
      <c r="C230" s="11" t="s">
        <v>9</v>
      </c>
      <c r="D230" s="65" t="s">
        <v>1500</v>
      </c>
      <c r="E230" s="65" t="s">
        <v>1500</v>
      </c>
      <c r="F230" s="65" t="s">
        <v>1500</v>
      </c>
      <c r="G230" s="65" t="s">
        <v>1500</v>
      </c>
      <c r="H230" s="65" t="s">
        <v>1500</v>
      </c>
      <c r="I230" s="65" t="s">
        <v>1500</v>
      </c>
    </row>
    <row r="231" spans="1:9" ht="30" x14ac:dyDescent="0.25">
      <c r="A231" s="11" t="s">
        <v>241</v>
      </c>
      <c r="B231" s="64" t="s">
        <v>1281</v>
      </c>
      <c r="C231" s="88"/>
      <c r="D231" s="134"/>
      <c r="E231" s="134"/>
      <c r="F231" s="134"/>
      <c r="G231" s="134"/>
      <c r="H231" s="134"/>
      <c r="I231" s="134"/>
    </row>
    <row r="232" spans="1:9" x14ac:dyDescent="0.25">
      <c r="A232" s="88"/>
      <c r="B232" s="20" t="s">
        <v>1520</v>
      </c>
      <c r="C232" s="11" t="s">
        <v>1273</v>
      </c>
      <c r="D232" s="65">
        <v>0</v>
      </c>
      <c r="E232" s="65">
        <v>37.159999999999997</v>
      </c>
      <c r="F232" s="65">
        <v>0</v>
      </c>
      <c r="G232" s="65">
        <f>Общее!H287</f>
        <v>0</v>
      </c>
      <c r="H232" s="65">
        <f>Общее!I287</f>
        <v>0</v>
      </c>
      <c r="I232" s="65">
        <f>Общее!J287</f>
        <v>0</v>
      </c>
    </row>
    <row r="233" spans="1:9" x14ac:dyDescent="0.25">
      <c r="A233" s="88"/>
      <c r="B233" s="20" t="s">
        <v>1521</v>
      </c>
      <c r="C233" s="11" t="s">
        <v>1273</v>
      </c>
      <c r="D233" s="65">
        <v>0</v>
      </c>
      <c r="E233" s="65">
        <v>58.72</v>
      </c>
      <c r="F233" s="65">
        <v>0</v>
      </c>
      <c r="G233" s="65">
        <f>Общее!H288</f>
        <v>0</v>
      </c>
      <c r="H233" s="65">
        <f>Общее!I288</f>
        <v>0</v>
      </c>
      <c r="I233" s="65">
        <f>Общее!J288</f>
        <v>0</v>
      </c>
    </row>
    <row r="234" spans="1:9" ht="60" x14ac:dyDescent="0.25">
      <c r="A234" s="6" t="s">
        <v>244</v>
      </c>
      <c r="B234" s="33" t="s">
        <v>245</v>
      </c>
      <c r="C234" s="7"/>
      <c r="D234" s="66"/>
      <c r="E234" s="66"/>
      <c r="F234" s="66"/>
      <c r="G234" s="66"/>
      <c r="H234" s="66"/>
      <c r="I234" s="66"/>
    </row>
    <row r="235" spans="1:9" ht="45" x14ac:dyDescent="0.25">
      <c r="A235" s="7"/>
      <c r="B235" s="33" t="s">
        <v>247</v>
      </c>
      <c r="C235" s="7"/>
      <c r="D235" s="66"/>
      <c r="E235" s="66"/>
      <c r="F235" s="66"/>
      <c r="G235" s="66"/>
      <c r="H235" s="66"/>
      <c r="I235" s="66"/>
    </row>
    <row r="236" spans="1:9" x14ac:dyDescent="0.25">
      <c r="A236" s="7"/>
      <c r="B236" s="33" t="s">
        <v>242</v>
      </c>
      <c r="C236" s="6" t="s">
        <v>1273</v>
      </c>
      <c r="D236" s="65">
        <v>0</v>
      </c>
      <c r="E236" s="65">
        <v>12.28</v>
      </c>
      <c r="F236" s="65">
        <v>0</v>
      </c>
      <c r="G236" s="65">
        <f>Общее!H290</f>
        <v>30.12</v>
      </c>
      <c r="H236" s="65">
        <f>Общее!I290</f>
        <v>29.35</v>
      </c>
      <c r="I236" s="65">
        <f>Общее!J290</f>
        <v>30.9</v>
      </c>
    </row>
    <row r="237" spans="1:9" x14ac:dyDescent="0.25">
      <c r="A237" s="7"/>
      <c r="B237" s="33" t="s">
        <v>243</v>
      </c>
      <c r="C237" s="6" t="s">
        <v>1273</v>
      </c>
      <c r="D237" s="65">
        <v>0</v>
      </c>
      <c r="E237" s="65">
        <v>29.28</v>
      </c>
      <c r="F237" s="65">
        <v>0</v>
      </c>
      <c r="G237" s="65">
        <f>Общее!H291</f>
        <v>15.24</v>
      </c>
      <c r="H237" s="65">
        <f>Общее!I291</f>
        <v>14.65</v>
      </c>
      <c r="I237" s="65">
        <f>Общее!J291</f>
        <v>14.7</v>
      </c>
    </row>
    <row r="238" spans="1:9" ht="60" x14ac:dyDescent="0.25">
      <c r="A238" s="11" t="s">
        <v>246</v>
      </c>
      <c r="B238" s="64" t="s">
        <v>1274</v>
      </c>
      <c r="C238" s="88"/>
      <c r="D238" s="134"/>
      <c r="E238" s="134"/>
      <c r="F238" s="134"/>
      <c r="G238" s="134"/>
      <c r="H238" s="134"/>
      <c r="I238" s="134"/>
    </row>
    <row r="239" spans="1:9" x14ac:dyDescent="0.25">
      <c r="A239" s="88"/>
      <c r="B239" s="20" t="s">
        <v>1520</v>
      </c>
      <c r="C239" s="133" t="s">
        <v>9</v>
      </c>
      <c r="D239" s="65" t="s">
        <v>1500</v>
      </c>
      <c r="E239" s="65">
        <v>1.1673151750972763</v>
      </c>
      <c r="F239" s="65" t="s">
        <v>1500</v>
      </c>
      <c r="G239" s="65">
        <f>Общее!H293</f>
        <v>0</v>
      </c>
      <c r="H239" s="65">
        <f>Общее!I293</f>
        <v>0</v>
      </c>
      <c r="I239" s="65">
        <f>Общее!J293</f>
        <v>0</v>
      </c>
    </row>
    <row r="240" spans="1:9" x14ac:dyDescent="0.25">
      <c r="A240" s="88"/>
      <c r="B240" s="20" t="s">
        <v>1521</v>
      </c>
      <c r="C240" s="133" t="s">
        <v>9</v>
      </c>
      <c r="D240" s="65" t="s">
        <v>1500</v>
      </c>
      <c r="E240" s="65">
        <v>0.77821011673151752</v>
      </c>
      <c r="F240" s="65" t="s">
        <v>1500</v>
      </c>
      <c r="G240" s="65">
        <f>Общее!H294</f>
        <v>0</v>
      </c>
      <c r="H240" s="65">
        <f>Общее!I294</f>
        <v>0</v>
      </c>
      <c r="I240" s="65">
        <f>Общее!J294</f>
        <v>0</v>
      </c>
    </row>
    <row r="241" spans="1:9" ht="60" x14ac:dyDescent="0.25">
      <c r="A241" s="6" t="s">
        <v>249</v>
      </c>
      <c r="B241" s="33" t="s">
        <v>1276</v>
      </c>
      <c r="C241" s="7"/>
      <c r="D241" s="66"/>
      <c r="E241" s="66"/>
      <c r="F241" s="66"/>
      <c r="G241" s="66"/>
      <c r="H241" s="66"/>
      <c r="I241" s="66"/>
    </row>
    <row r="242" spans="1:9" x14ac:dyDescent="0.25">
      <c r="A242" s="7"/>
      <c r="B242" s="33" t="s">
        <v>1278</v>
      </c>
      <c r="C242" s="144" t="s">
        <v>9</v>
      </c>
      <c r="D242" s="65" t="s">
        <v>1500</v>
      </c>
      <c r="E242" s="65">
        <v>1.0810810810810811</v>
      </c>
      <c r="F242" s="65" t="s">
        <v>1500</v>
      </c>
      <c r="G242" s="65">
        <f>Общее!H302</f>
        <v>0</v>
      </c>
      <c r="H242" s="65">
        <f>Общее!I302</f>
        <v>0</v>
      </c>
      <c r="I242" s="65">
        <f>Общее!J302</f>
        <v>0</v>
      </c>
    </row>
    <row r="243" spans="1:9" x14ac:dyDescent="0.25">
      <c r="A243" s="7"/>
      <c r="B243" s="33" t="s">
        <v>1277</v>
      </c>
      <c r="C243" s="144" t="s">
        <v>9</v>
      </c>
      <c r="D243" s="65" t="s">
        <v>1500</v>
      </c>
      <c r="E243" s="65">
        <v>1.0810810810810811</v>
      </c>
      <c r="F243" s="65" t="s">
        <v>1500</v>
      </c>
      <c r="G243" s="65">
        <f>Общее!H303</f>
        <v>0</v>
      </c>
      <c r="H243" s="65">
        <f>Общее!I303</f>
        <v>0</v>
      </c>
      <c r="I243" s="65">
        <f>Общее!J303</f>
        <v>0</v>
      </c>
    </row>
    <row r="244" spans="1:9" ht="90" x14ac:dyDescent="0.25">
      <c r="A244" s="9" t="s">
        <v>251</v>
      </c>
      <c r="B244" s="32" t="s">
        <v>250</v>
      </c>
      <c r="C244" s="7"/>
      <c r="D244" s="13"/>
      <c r="E244" s="13"/>
      <c r="F244" s="13"/>
      <c r="G244" s="13"/>
      <c r="H244" s="13"/>
      <c r="I244" s="13"/>
    </row>
    <row r="245" spans="1:9" ht="30" x14ac:dyDescent="0.25">
      <c r="A245" s="6" t="s">
        <v>253</v>
      </c>
      <c r="B245" s="33" t="s">
        <v>252</v>
      </c>
      <c r="C245" s="11"/>
      <c r="D245" s="13"/>
      <c r="E245" s="13"/>
      <c r="F245" s="13"/>
      <c r="G245" s="13"/>
      <c r="H245" s="13"/>
      <c r="I245" s="13"/>
    </row>
    <row r="246" spans="1:9" x14ac:dyDescent="0.25">
      <c r="A246" s="6"/>
      <c r="B246" s="33" t="s">
        <v>1351</v>
      </c>
      <c r="C246" s="11" t="s">
        <v>9</v>
      </c>
      <c r="D246" s="65">
        <v>98.931575358035914</v>
      </c>
      <c r="E246" s="65">
        <v>99.361313868613138</v>
      </c>
      <c r="F246" s="65">
        <v>99.33065595716198</v>
      </c>
      <c r="G246" s="65">
        <f>Общее!H312</f>
        <v>98.952996212965033</v>
      </c>
      <c r="H246" s="65">
        <f>Общее!I312</f>
        <v>99.424141749723148</v>
      </c>
      <c r="I246" s="65">
        <f>Общее!J312</f>
        <v>99.468085106382972</v>
      </c>
    </row>
    <row r="247" spans="1:9" x14ac:dyDescent="0.25">
      <c r="A247" s="6"/>
      <c r="B247" s="33" t="s">
        <v>1352</v>
      </c>
      <c r="C247" s="11" t="s">
        <v>9</v>
      </c>
      <c r="D247" s="65" t="s">
        <v>1500</v>
      </c>
      <c r="E247" s="65" t="s">
        <v>1500</v>
      </c>
      <c r="F247" s="65" t="s">
        <v>1500</v>
      </c>
      <c r="G247" s="65" t="s">
        <v>1500</v>
      </c>
      <c r="H247" s="65" t="s">
        <v>1500</v>
      </c>
      <c r="I247" s="65" t="s">
        <v>1500</v>
      </c>
    </row>
    <row r="248" spans="1:9" ht="30" x14ac:dyDescent="0.25">
      <c r="A248" s="6" t="s">
        <v>257</v>
      </c>
      <c r="B248" s="33" t="s">
        <v>258</v>
      </c>
      <c r="C248" s="11"/>
      <c r="D248" s="13"/>
      <c r="E248" s="13"/>
      <c r="F248" s="13"/>
      <c r="G248" s="13"/>
      <c r="H248" s="13"/>
      <c r="I248" s="13"/>
    </row>
    <row r="249" spans="1:9" x14ac:dyDescent="0.25">
      <c r="A249" s="6"/>
      <c r="B249" s="33" t="s">
        <v>1351</v>
      </c>
      <c r="C249" s="11" t="s">
        <v>9</v>
      </c>
      <c r="D249" s="65">
        <v>18.181818181818183</v>
      </c>
      <c r="E249" s="65">
        <v>18.181818181818183</v>
      </c>
      <c r="F249" s="65">
        <v>23.809523809523807</v>
      </c>
      <c r="G249" s="65">
        <f>Общее!H323</f>
        <v>25</v>
      </c>
      <c r="H249" s="65">
        <f>Общее!I323</f>
        <v>26.315789473684209</v>
      </c>
      <c r="I249" s="65">
        <f>Общее!J323</f>
        <v>33.333333333333329</v>
      </c>
    </row>
    <row r="250" spans="1:9" x14ac:dyDescent="0.25">
      <c r="A250" s="6"/>
      <c r="B250" s="33" t="s">
        <v>1352</v>
      </c>
      <c r="C250" s="11" t="s">
        <v>9</v>
      </c>
      <c r="D250" s="65" t="s">
        <v>1500</v>
      </c>
      <c r="E250" s="65" t="s">
        <v>1500</v>
      </c>
      <c r="F250" s="65" t="s">
        <v>1500</v>
      </c>
      <c r="G250" s="65" t="s">
        <v>1500</v>
      </c>
      <c r="H250" s="65" t="s">
        <v>1500</v>
      </c>
      <c r="I250" s="65" t="s">
        <v>1500</v>
      </c>
    </row>
    <row r="251" spans="1:9" ht="30" x14ac:dyDescent="0.25">
      <c r="A251" s="6" t="s">
        <v>261</v>
      </c>
      <c r="B251" s="33" t="s">
        <v>262</v>
      </c>
      <c r="C251" s="11"/>
      <c r="D251" s="13"/>
      <c r="E251" s="13"/>
      <c r="F251" s="13"/>
      <c r="G251" s="13"/>
      <c r="H251" s="13"/>
      <c r="I251" s="13"/>
    </row>
    <row r="252" spans="1:9" x14ac:dyDescent="0.25">
      <c r="A252" s="6"/>
      <c r="B252" s="33" t="s">
        <v>1351</v>
      </c>
      <c r="C252" s="11" t="s">
        <v>9</v>
      </c>
      <c r="D252" s="65">
        <v>95.652173913043484</v>
      </c>
      <c r="E252" s="65">
        <v>95.454545454545453</v>
      </c>
      <c r="F252" s="65">
        <v>90.476190476190482</v>
      </c>
      <c r="G252" s="65">
        <f>Общее!H334</f>
        <v>90</v>
      </c>
      <c r="H252" s="65">
        <f>Общее!I334</f>
        <v>94.73684210526315</v>
      </c>
      <c r="I252" s="65">
        <f>Общее!J334</f>
        <v>100</v>
      </c>
    </row>
    <row r="253" spans="1:9" x14ac:dyDescent="0.25">
      <c r="A253" s="6"/>
      <c r="B253" s="33" t="s">
        <v>1352</v>
      </c>
      <c r="C253" s="11" t="s">
        <v>9</v>
      </c>
      <c r="D253" s="65" t="s">
        <v>1500</v>
      </c>
      <c r="E253" s="65" t="s">
        <v>1500</v>
      </c>
      <c r="F253" s="65" t="s">
        <v>1500</v>
      </c>
      <c r="G253" s="65" t="s">
        <v>1500</v>
      </c>
      <c r="H253" s="65" t="s">
        <v>1500</v>
      </c>
      <c r="I253" s="65" t="s">
        <v>1500</v>
      </c>
    </row>
    <row r="254" spans="1:9" ht="30" x14ac:dyDescent="0.25">
      <c r="A254" s="6" t="s">
        <v>265</v>
      </c>
      <c r="B254" s="33" t="s">
        <v>266</v>
      </c>
      <c r="C254" s="11"/>
      <c r="D254" s="13"/>
      <c r="E254" s="13"/>
      <c r="F254" s="13"/>
      <c r="G254" s="13"/>
      <c r="H254" s="13"/>
      <c r="I254" s="13"/>
    </row>
    <row r="255" spans="1:9" x14ac:dyDescent="0.25">
      <c r="A255" s="6"/>
      <c r="B255" s="33" t="s">
        <v>1351</v>
      </c>
      <c r="C255" s="11" t="s">
        <v>9</v>
      </c>
      <c r="D255" s="65">
        <v>0</v>
      </c>
      <c r="E255" s="65">
        <v>0</v>
      </c>
      <c r="F255" s="65">
        <v>0</v>
      </c>
      <c r="G255" s="65">
        <v>0</v>
      </c>
      <c r="H255" s="65">
        <v>0</v>
      </c>
      <c r="I255" s="65">
        <v>0</v>
      </c>
    </row>
    <row r="256" spans="1:9" x14ac:dyDescent="0.25">
      <c r="A256" s="6"/>
      <c r="B256" s="33" t="s">
        <v>1352</v>
      </c>
      <c r="C256" s="11" t="s">
        <v>9</v>
      </c>
      <c r="D256" s="65" t="s">
        <v>1500</v>
      </c>
      <c r="E256" s="65" t="s">
        <v>1500</v>
      </c>
      <c r="F256" s="65" t="s">
        <v>1500</v>
      </c>
      <c r="G256" s="65" t="s">
        <v>1500</v>
      </c>
      <c r="H256" s="65" t="s">
        <v>1500</v>
      </c>
      <c r="I256" s="65" t="s">
        <v>1500</v>
      </c>
    </row>
    <row r="257" spans="1:9" ht="60" x14ac:dyDescent="0.25">
      <c r="A257" s="9" t="s">
        <v>270</v>
      </c>
      <c r="B257" s="32" t="s">
        <v>269</v>
      </c>
      <c r="C257" s="7"/>
      <c r="D257" s="13"/>
      <c r="E257" s="13"/>
      <c r="F257" s="13"/>
      <c r="G257" s="13"/>
      <c r="H257" s="13"/>
      <c r="I257" s="13"/>
    </row>
    <row r="258" spans="1:9" x14ac:dyDescent="0.25">
      <c r="A258" s="6" t="s">
        <v>272</v>
      </c>
      <c r="B258" s="33" t="s">
        <v>271</v>
      </c>
      <c r="C258" s="11"/>
      <c r="D258" s="13"/>
      <c r="E258" s="13"/>
      <c r="F258" s="13"/>
      <c r="G258" s="13"/>
      <c r="H258" s="13"/>
      <c r="I258" s="13"/>
    </row>
    <row r="259" spans="1:9" x14ac:dyDescent="0.25">
      <c r="A259" s="6"/>
      <c r="B259" s="33" t="s">
        <v>1351</v>
      </c>
      <c r="C259" s="11" t="s">
        <v>9</v>
      </c>
      <c r="D259" s="65">
        <v>100</v>
      </c>
      <c r="E259" s="65">
        <v>95.652173913043484</v>
      </c>
      <c r="F259" s="65">
        <v>95.454545454545453</v>
      </c>
      <c r="G259" s="65">
        <f>Общее!H361</f>
        <v>100</v>
      </c>
      <c r="H259" s="65">
        <f>Общее!I361</f>
        <v>100</v>
      </c>
      <c r="I259" s="65">
        <f>Общее!J361</f>
        <v>100</v>
      </c>
    </row>
    <row r="260" spans="1:9" x14ac:dyDescent="0.25">
      <c r="A260" s="6"/>
      <c r="B260" s="33" t="s">
        <v>1353</v>
      </c>
      <c r="C260" s="11" t="s">
        <v>9</v>
      </c>
      <c r="D260" s="65">
        <v>100</v>
      </c>
      <c r="E260" s="65">
        <v>100</v>
      </c>
      <c r="F260" s="65">
        <v>100</v>
      </c>
      <c r="G260" s="65">
        <f>Общее!H362</f>
        <v>100</v>
      </c>
      <c r="H260" s="65">
        <f>Общее!I362</f>
        <v>100</v>
      </c>
      <c r="I260" s="65">
        <f>Общее!J362</f>
        <v>100</v>
      </c>
    </row>
    <row r="261" spans="1:9" x14ac:dyDescent="0.25">
      <c r="A261" s="6"/>
      <c r="B261" s="33" t="s">
        <v>1354</v>
      </c>
      <c r="C261" s="11" t="s">
        <v>9</v>
      </c>
      <c r="D261" s="65">
        <v>100</v>
      </c>
      <c r="E261" s="65">
        <v>94.444444444444443</v>
      </c>
      <c r="F261" s="65">
        <v>94.117647058823522</v>
      </c>
      <c r="G261" s="65">
        <f>Общее!H363</f>
        <v>100</v>
      </c>
      <c r="H261" s="65">
        <f>Общее!I363</f>
        <v>100</v>
      </c>
      <c r="I261" s="65">
        <f>Общее!J363</f>
        <v>100</v>
      </c>
    </row>
    <row r="262" spans="1:9" x14ac:dyDescent="0.25">
      <c r="A262" s="6"/>
      <c r="B262" s="33" t="s">
        <v>1352</v>
      </c>
      <c r="C262" s="11" t="s">
        <v>9</v>
      </c>
      <c r="D262" s="65" t="s">
        <v>1500</v>
      </c>
      <c r="E262" s="65" t="s">
        <v>1500</v>
      </c>
      <c r="F262" s="65" t="s">
        <v>1500</v>
      </c>
      <c r="G262" s="65" t="s">
        <v>1500</v>
      </c>
      <c r="H262" s="65" t="s">
        <v>1500</v>
      </c>
      <c r="I262" s="65" t="s">
        <v>1500</v>
      </c>
    </row>
    <row r="263" spans="1:9" x14ac:dyDescent="0.25">
      <c r="A263" s="6"/>
      <c r="B263" s="33" t="s">
        <v>1353</v>
      </c>
      <c r="C263" s="11" t="s">
        <v>9</v>
      </c>
      <c r="D263" s="65" t="s">
        <v>1500</v>
      </c>
      <c r="E263" s="65" t="s">
        <v>1500</v>
      </c>
      <c r="F263" s="65" t="s">
        <v>1500</v>
      </c>
      <c r="G263" s="65" t="s">
        <v>1500</v>
      </c>
      <c r="H263" s="65" t="s">
        <v>1500</v>
      </c>
      <c r="I263" s="65" t="s">
        <v>1500</v>
      </c>
    </row>
    <row r="264" spans="1:9" x14ac:dyDescent="0.25">
      <c r="A264" s="6"/>
      <c r="B264" s="33" t="s">
        <v>1354</v>
      </c>
      <c r="C264" s="11" t="s">
        <v>9</v>
      </c>
      <c r="D264" s="65" t="s">
        <v>1500</v>
      </c>
      <c r="E264" s="65" t="s">
        <v>1500</v>
      </c>
      <c r="F264" s="65" t="s">
        <v>1500</v>
      </c>
      <c r="G264" s="65" t="s">
        <v>1500</v>
      </c>
      <c r="H264" s="65" t="s">
        <v>1500</v>
      </c>
      <c r="I264" s="65" t="s">
        <v>1500</v>
      </c>
    </row>
    <row r="265" spans="1:9" ht="45" x14ac:dyDescent="0.25">
      <c r="A265" s="9" t="s">
        <v>278</v>
      </c>
      <c r="B265" s="32" t="s">
        <v>277</v>
      </c>
      <c r="C265" s="7"/>
      <c r="D265" s="13"/>
      <c r="E265" s="13"/>
      <c r="F265" s="13"/>
      <c r="G265" s="13"/>
      <c r="H265" s="13"/>
      <c r="I265" s="13"/>
    </row>
    <row r="266" spans="1:9" ht="30" x14ac:dyDescent="0.25">
      <c r="A266" s="6" t="s">
        <v>285</v>
      </c>
      <c r="B266" s="33" t="s">
        <v>279</v>
      </c>
      <c r="C266" s="11" t="s">
        <v>1270</v>
      </c>
      <c r="D266" s="65">
        <v>201.27654320987654</v>
      </c>
      <c r="E266" s="65">
        <v>207.65919965202261</v>
      </c>
      <c r="F266" s="65">
        <v>222.47347994825355</v>
      </c>
      <c r="G266" s="65">
        <f>Общее!H386</f>
        <v>234.62769784172662</v>
      </c>
      <c r="H266" s="65">
        <f>Общее!I386</f>
        <v>250.97783747481532</v>
      </c>
      <c r="I266" s="65">
        <f>Общее!J386</f>
        <v>262.30592691622104</v>
      </c>
    </row>
    <row r="267" spans="1:9" x14ac:dyDescent="0.25">
      <c r="A267" s="6"/>
      <c r="B267" s="33" t="s">
        <v>1351</v>
      </c>
      <c r="C267" s="11" t="s">
        <v>1270</v>
      </c>
      <c r="D267" s="65">
        <v>201.27654320987654</v>
      </c>
      <c r="E267" s="65">
        <v>207.65919965202261</v>
      </c>
      <c r="F267" s="65">
        <v>222.47347994825355</v>
      </c>
      <c r="G267" s="65">
        <f>Общее!H387</f>
        <v>234.62769784172662</v>
      </c>
      <c r="H267" s="65">
        <f>Общее!I387</f>
        <v>250.97783747481532</v>
      </c>
      <c r="I267" s="65">
        <f>Общее!J387</f>
        <v>262.30592691622104</v>
      </c>
    </row>
    <row r="268" spans="1:9" x14ac:dyDescent="0.25">
      <c r="A268" s="6"/>
      <c r="B268" s="33" t="s">
        <v>1352</v>
      </c>
      <c r="C268" s="11" t="s">
        <v>1270</v>
      </c>
      <c r="D268" s="65" t="s">
        <v>1500</v>
      </c>
      <c r="E268" s="65" t="s">
        <v>1500</v>
      </c>
      <c r="F268" s="65" t="s">
        <v>1500</v>
      </c>
      <c r="G268" s="65" t="s">
        <v>1500</v>
      </c>
      <c r="H268" s="65" t="s">
        <v>1500</v>
      </c>
      <c r="I268" s="65" t="s">
        <v>1500</v>
      </c>
    </row>
    <row r="269" spans="1:9" ht="30" x14ac:dyDescent="0.25">
      <c r="A269" s="6" t="s">
        <v>284</v>
      </c>
      <c r="B269" s="33" t="s">
        <v>287</v>
      </c>
      <c r="C269" s="11" t="s">
        <v>9</v>
      </c>
      <c r="D269" s="65">
        <v>0</v>
      </c>
      <c r="E269" s="65">
        <v>0</v>
      </c>
      <c r="F269" s="65">
        <v>0</v>
      </c>
      <c r="G269" s="65">
        <v>0</v>
      </c>
      <c r="H269" s="65">
        <v>0</v>
      </c>
      <c r="I269" s="65">
        <v>0</v>
      </c>
    </row>
    <row r="270" spans="1:9" x14ac:dyDescent="0.25">
      <c r="A270" s="6"/>
      <c r="B270" s="33" t="s">
        <v>1351</v>
      </c>
      <c r="C270" s="11" t="s">
        <v>9</v>
      </c>
      <c r="D270" s="65">
        <v>0</v>
      </c>
      <c r="E270" s="65">
        <v>0</v>
      </c>
      <c r="F270" s="65">
        <v>0</v>
      </c>
      <c r="G270" s="65">
        <v>0</v>
      </c>
      <c r="H270" s="65">
        <v>0</v>
      </c>
      <c r="I270" s="65">
        <v>0</v>
      </c>
    </row>
    <row r="271" spans="1:9" x14ac:dyDescent="0.25">
      <c r="A271" s="6"/>
      <c r="B271" s="33" t="s">
        <v>1352</v>
      </c>
      <c r="C271" s="11" t="s">
        <v>9</v>
      </c>
      <c r="D271" s="65" t="s">
        <v>1500</v>
      </c>
      <c r="E271" s="65" t="s">
        <v>1500</v>
      </c>
      <c r="F271" s="65" t="s">
        <v>1500</v>
      </c>
      <c r="G271" s="65" t="s">
        <v>1500</v>
      </c>
      <c r="H271" s="65" t="s">
        <v>1500</v>
      </c>
      <c r="I271" s="65" t="s">
        <v>1500</v>
      </c>
    </row>
    <row r="272" spans="1:9" ht="30" x14ac:dyDescent="0.25">
      <c r="A272" s="9" t="s">
        <v>293</v>
      </c>
      <c r="B272" s="32" t="s">
        <v>292</v>
      </c>
      <c r="C272" s="7"/>
      <c r="D272" s="13"/>
      <c r="E272" s="13"/>
      <c r="F272" s="13"/>
      <c r="G272" s="13"/>
      <c r="H272" s="13"/>
      <c r="I272" s="13"/>
    </row>
    <row r="273" spans="1:9" ht="30" x14ac:dyDescent="0.25">
      <c r="A273" s="6" t="s">
        <v>295</v>
      </c>
      <c r="B273" s="33" t="s">
        <v>294</v>
      </c>
      <c r="C273" s="11"/>
      <c r="D273" s="13"/>
      <c r="E273" s="13"/>
      <c r="F273" s="13"/>
      <c r="G273" s="388"/>
      <c r="H273" s="388"/>
      <c r="I273" s="388"/>
    </row>
    <row r="274" spans="1:9" x14ac:dyDescent="0.25">
      <c r="A274" s="6"/>
      <c r="B274" s="33" t="s">
        <v>1351</v>
      </c>
      <c r="C274" s="11" t="s">
        <v>9</v>
      </c>
      <c r="D274" s="65">
        <v>52.173913043478258</v>
      </c>
      <c r="E274" s="65">
        <v>50</v>
      </c>
      <c r="F274" s="65">
        <v>61.904761904761905</v>
      </c>
      <c r="G274" s="110">
        <v>100</v>
      </c>
      <c r="H274" s="110">
        <v>100</v>
      </c>
      <c r="I274" s="110">
        <v>100</v>
      </c>
    </row>
    <row r="275" spans="1:9" x14ac:dyDescent="0.25">
      <c r="A275" s="6"/>
      <c r="B275" s="33" t="s">
        <v>1352</v>
      </c>
      <c r="C275" s="11" t="s">
        <v>9</v>
      </c>
      <c r="D275" s="65" t="s">
        <v>1500</v>
      </c>
      <c r="E275" s="65" t="s">
        <v>1500</v>
      </c>
      <c r="F275" s="65" t="s">
        <v>1500</v>
      </c>
      <c r="G275" s="65" t="s">
        <v>1500</v>
      </c>
      <c r="H275" s="65" t="s">
        <v>1500</v>
      </c>
      <c r="I275" s="65" t="s">
        <v>1500</v>
      </c>
    </row>
    <row r="276" spans="1:9" ht="30" x14ac:dyDescent="0.25">
      <c r="A276" s="6" t="s">
        <v>297</v>
      </c>
      <c r="B276" s="33" t="s">
        <v>296</v>
      </c>
      <c r="C276" s="11"/>
      <c r="D276" s="13"/>
      <c r="E276" s="13"/>
      <c r="F276" s="13"/>
      <c r="G276" s="388"/>
      <c r="H276" s="388"/>
      <c r="I276" s="388"/>
    </row>
    <row r="277" spans="1:9" x14ac:dyDescent="0.25">
      <c r="A277" s="6"/>
      <c r="B277" s="33" t="s">
        <v>1351</v>
      </c>
      <c r="C277" s="11" t="s">
        <v>9</v>
      </c>
      <c r="D277" s="65">
        <v>60.869565217391312</v>
      </c>
      <c r="E277" s="65">
        <v>54.54545454545454</v>
      </c>
      <c r="F277" s="65">
        <v>95.238095238095227</v>
      </c>
      <c r="G277" s="110">
        <v>100</v>
      </c>
      <c r="H277" s="110">
        <v>100</v>
      </c>
      <c r="I277" s="110">
        <v>100</v>
      </c>
    </row>
    <row r="278" spans="1:9" x14ac:dyDescent="0.25">
      <c r="A278" s="6"/>
      <c r="B278" s="33" t="s">
        <v>1352</v>
      </c>
      <c r="C278" s="11" t="s">
        <v>9</v>
      </c>
      <c r="D278" s="65" t="s">
        <v>1500</v>
      </c>
      <c r="E278" s="65" t="s">
        <v>1500</v>
      </c>
      <c r="F278" s="65" t="s">
        <v>1500</v>
      </c>
      <c r="G278" s="65" t="s">
        <v>1500</v>
      </c>
      <c r="H278" s="65" t="s">
        <v>1500</v>
      </c>
      <c r="I278" s="65" t="s">
        <v>1500</v>
      </c>
    </row>
    <row r="279" spans="1:9" ht="30" x14ac:dyDescent="0.25">
      <c r="A279" s="6" t="s">
        <v>299</v>
      </c>
      <c r="B279" s="33" t="s">
        <v>298</v>
      </c>
      <c r="C279" s="11"/>
      <c r="D279" s="13"/>
      <c r="E279" s="13"/>
      <c r="F279" s="13"/>
      <c r="G279" s="388"/>
      <c r="H279" s="388"/>
      <c r="I279" s="388"/>
    </row>
    <row r="280" spans="1:9" x14ac:dyDescent="0.25">
      <c r="A280" s="6"/>
      <c r="B280" s="33" t="s">
        <v>1351</v>
      </c>
      <c r="C280" s="11" t="s">
        <v>9</v>
      </c>
      <c r="D280" s="65">
        <v>30.434782608695656</v>
      </c>
      <c r="E280" s="65">
        <v>54.54545454545454</v>
      </c>
      <c r="F280" s="65">
        <v>28.571428571428569</v>
      </c>
      <c r="G280" s="110">
        <v>100</v>
      </c>
      <c r="H280" s="110">
        <v>100</v>
      </c>
      <c r="I280" s="110">
        <v>100</v>
      </c>
    </row>
    <row r="281" spans="1:9" x14ac:dyDescent="0.25">
      <c r="A281" s="6"/>
      <c r="B281" s="33" t="s">
        <v>1352</v>
      </c>
      <c r="C281" s="11" t="s">
        <v>9</v>
      </c>
      <c r="D281" s="65" t="s">
        <v>1500</v>
      </c>
      <c r="E281" s="65" t="s">
        <v>1500</v>
      </c>
      <c r="F281" s="65" t="s">
        <v>1500</v>
      </c>
      <c r="G281" s="65" t="s">
        <v>1500</v>
      </c>
      <c r="H281" s="65" t="s">
        <v>1500</v>
      </c>
      <c r="I281" s="65" t="s">
        <v>1500</v>
      </c>
    </row>
    <row r="282" spans="1:9" ht="30" x14ac:dyDescent="0.25">
      <c r="A282" s="6" t="s">
        <v>304</v>
      </c>
      <c r="B282" s="33" t="s">
        <v>300</v>
      </c>
      <c r="C282" s="11"/>
      <c r="D282" s="13"/>
      <c r="E282" s="13"/>
      <c r="F282" s="13"/>
      <c r="G282" s="388"/>
      <c r="H282" s="388"/>
      <c r="I282" s="388"/>
    </row>
    <row r="283" spans="1:9" x14ac:dyDescent="0.25">
      <c r="A283" s="6"/>
      <c r="B283" s="33" t="s">
        <v>1351</v>
      </c>
      <c r="C283" s="11" t="s">
        <v>9</v>
      </c>
      <c r="D283" s="65">
        <v>95.652173913043484</v>
      </c>
      <c r="E283" s="65">
        <v>95.454545454545453</v>
      </c>
      <c r="F283" s="65">
        <v>90.476190476190482</v>
      </c>
      <c r="G283" s="110">
        <v>100</v>
      </c>
      <c r="H283" s="110">
        <v>100</v>
      </c>
      <c r="I283" s="110">
        <v>100</v>
      </c>
    </row>
    <row r="284" spans="1:9" x14ac:dyDescent="0.25">
      <c r="A284" s="6"/>
      <c r="B284" s="33" t="s">
        <v>1352</v>
      </c>
      <c r="C284" s="11" t="s">
        <v>9</v>
      </c>
      <c r="D284" s="65" t="s">
        <v>1500</v>
      </c>
      <c r="E284" s="65" t="s">
        <v>1500</v>
      </c>
      <c r="F284" s="65" t="s">
        <v>1500</v>
      </c>
      <c r="G284" s="65" t="s">
        <v>1500</v>
      </c>
      <c r="H284" s="65" t="s">
        <v>1500</v>
      </c>
      <c r="I284" s="65" t="s">
        <v>1500</v>
      </c>
    </row>
    <row r="285" spans="1:9" ht="30" x14ac:dyDescent="0.25">
      <c r="A285" s="6" t="s">
        <v>305</v>
      </c>
      <c r="B285" s="33" t="s">
        <v>306</v>
      </c>
      <c r="C285" s="11"/>
      <c r="D285" s="13"/>
      <c r="E285" s="13"/>
      <c r="F285" s="13"/>
      <c r="G285" s="388"/>
      <c r="H285" s="388"/>
      <c r="I285" s="388"/>
    </row>
    <row r="286" spans="1:9" x14ac:dyDescent="0.25">
      <c r="A286" s="6"/>
      <c r="B286" s="33" t="s">
        <v>1351</v>
      </c>
      <c r="C286" s="11" t="s">
        <v>9</v>
      </c>
      <c r="D286" s="65">
        <v>73.91304347826086</v>
      </c>
      <c r="E286" s="65">
        <v>86.36363636363636</v>
      </c>
      <c r="F286" s="65">
        <v>95.238095238095227</v>
      </c>
      <c r="G286" s="110">
        <v>100</v>
      </c>
      <c r="H286" s="110">
        <v>100</v>
      </c>
      <c r="I286" s="110">
        <v>100</v>
      </c>
    </row>
    <row r="287" spans="1:9" x14ac:dyDescent="0.25">
      <c r="A287" s="6"/>
      <c r="B287" s="33" t="s">
        <v>1352</v>
      </c>
      <c r="C287" s="11" t="s">
        <v>9</v>
      </c>
      <c r="D287" s="65" t="s">
        <v>1500</v>
      </c>
      <c r="E287" s="65" t="s">
        <v>1500</v>
      </c>
      <c r="F287" s="65" t="s">
        <v>1500</v>
      </c>
      <c r="G287" s="65" t="s">
        <v>1500</v>
      </c>
      <c r="H287" s="65" t="s">
        <v>1500</v>
      </c>
      <c r="I287" s="65" t="s">
        <v>1500</v>
      </c>
    </row>
    <row r="288" spans="1:9" ht="30" x14ac:dyDescent="0.25">
      <c r="A288" s="6" t="s">
        <v>307</v>
      </c>
      <c r="B288" s="33" t="s">
        <v>308</v>
      </c>
      <c r="C288" s="11"/>
      <c r="D288" s="13"/>
      <c r="E288" s="13"/>
      <c r="F288" s="13"/>
      <c r="G288" s="388"/>
      <c r="H288" s="388"/>
      <c r="I288" s="388"/>
    </row>
    <row r="289" spans="1:9" x14ac:dyDescent="0.25">
      <c r="A289" s="6"/>
      <c r="B289" s="33" t="s">
        <v>1351</v>
      </c>
      <c r="C289" s="11" t="s">
        <v>9</v>
      </c>
      <c r="D289" s="65">
        <v>0</v>
      </c>
      <c r="E289" s="65">
        <v>0</v>
      </c>
      <c r="F289" s="65">
        <v>0</v>
      </c>
      <c r="G289" s="65">
        <v>0</v>
      </c>
      <c r="H289" s="65">
        <v>0</v>
      </c>
      <c r="I289" s="65">
        <v>0</v>
      </c>
    </row>
    <row r="290" spans="1:9" x14ac:dyDescent="0.25">
      <c r="A290" s="6"/>
      <c r="B290" s="33" t="s">
        <v>1352</v>
      </c>
      <c r="C290" s="11" t="s">
        <v>9</v>
      </c>
      <c r="D290" s="65" t="s">
        <v>1500</v>
      </c>
      <c r="E290" s="65" t="s">
        <v>1500</v>
      </c>
      <c r="F290" s="65" t="s">
        <v>1500</v>
      </c>
      <c r="G290" s="65" t="s">
        <v>1500</v>
      </c>
      <c r="H290" s="65" t="s">
        <v>1500</v>
      </c>
      <c r="I290" s="65" t="s">
        <v>1500</v>
      </c>
    </row>
    <row r="291" spans="1:9" ht="30" x14ac:dyDescent="0.25">
      <c r="A291" s="6" t="s">
        <v>312</v>
      </c>
      <c r="B291" s="33" t="s">
        <v>313</v>
      </c>
      <c r="C291" s="11"/>
      <c r="D291" s="13"/>
      <c r="E291" s="13"/>
      <c r="F291" s="13"/>
      <c r="G291" s="13"/>
      <c r="H291" s="13"/>
      <c r="I291" s="13"/>
    </row>
    <row r="292" spans="1:9" x14ac:dyDescent="0.25">
      <c r="A292" s="6"/>
      <c r="B292" s="33" t="s">
        <v>1351</v>
      </c>
      <c r="C292" s="11" t="s">
        <v>9</v>
      </c>
      <c r="D292" s="65">
        <v>4.3478260869565215</v>
      </c>
      <c r="E292" s="65">
        <v>4.5454545454545459</v>
      </c>
      <c r="F292" s="65">
        <v>4.7619047619047619</v>
      </c>
      <c r="G292" s="65">
        <f>Общее!H428</f>
        <v>5</v>
      </c>
      <c r="H292" s="65">
        <v>0</v>
      </c>
      <c r="I292" s="65">
        <v>0</v>
      </c>
    </row>
    <row r="293" spans="1:9" x14ac:dyDescent="0.25">
      <c r="A293" s="6"/>
      <c r="B293" s="33" t="s">
        <v>1352</v>
      </c>
      <c r="C293" s="11" t="s">
        <v>9</v>
      </c>
      <c r="D293" s="65" t="s">
        <v>1500</v>
      </c>
      <c r="E293" s="65" t="s">
        <v>1500</v>
      </c>
      <c r="F293" s="65" t="s">
        <v>1500</v>
      </c>
      <c r="G293" s="65" t="s">
        <v>1500</v>
      </c>
      <c r="H293" s="65" t="s">
        <v>1500</v>
      </c>
      <c r="I293" s="65" t="s">
        <v>1500</v>
      </c>
    </row>
    <row r="294" spans="1:9" s="90" customFormat="1" ht="15" hidden="1" customHeight="1" x14ac:dyDescent="0.25">
      <c r="A294" s="141" t="s">
        <v>317</v>
      </c>
      <c r="B294" s="141"/>
      <c r="C294" s="141"/>
      <c r="D294" s="141"/>
      <c r="E294" s="141"/>
      <c r="F294" s="141"/>
      <c r="G294" s="141"/>
      <c r="H294" s="141"/>
      <c r="I294" s="141"/>
    </row>
    <row r="295" spans="1:9" s="90" customFormat="1" ht="15" hidden="1" customHeight="1" x14ac:dyDescent="0.25">
      <c r="A295" s="141" t="s">
        <v>318</v>
      </c>
      <c r="B295" s="141"/>
      <c r="C295" s="141"/>
      <c r="D295" s="141"/>
      <c r="E295" s="141"/>
      <c r="F295" s="141"/>
      <c r="G295" s="141"/>
      <c r="H295" s="141"/>
      <c r="I295" s="141"/>
    </row>
    <row r="296" spans="1:9" s="90" customFormat="1" ht="45" hidden="1" customHeight="1" x14ac:dyDescent="0.25">
      <c r="A296" s="99" t="s">
        <v>319</v>
      </c>
      <c r="B296" s="100" t="s">
        <v>320</v>
      </c>
      <c r="C296" s="88"/>
      <c r="D296" s="91"/>
      <c r="E296" s="91"/>
      <c r="F296" s="91"/>
      <c r="G296" s="91"/>
      <c r="H296" s="91"/>
      <c r="I296" s="91"/>
    </row>
    <row r="297" spans="1:9" s="90" customFormat="1" ht="75" hidden="1" customHeight="1" x14ac:dyDescent="0.25">
      <c r="A297" s="11" t="s">
        <v>321</v>
      </c>
      <c r="B297" s="64" t="s">
        <v>322</v>
      </c>
      <c r="C297" s="11" t="s">
        <v>9</v>
      </c>
      <c r="D297" s="105">
        <v>7.15</v>
      </c>
      <c r="E297" s="105">
        <v>6.99</v>
      </c>
      <c r="F297" s="105">
        <v>0</v>
      </c>
      <c r="G297" s="105"/>
      <c r="H297" s="105"/>
      <c r="I297" s="105"/>
    </row>
    <row r="298" spans="1:9" s="90" customFormat="1" ht="75" hidden="1" customHeight="1" x14ac:dyDescent="0.25">
      <c r="A298" s="11" t="s">
        <v>328</v>
      </c>
      <c r="B298" s="64" t="s">
        <v>327</v>
      </c>
      <c r="C298" s="11" t="s">
        <v>9</v>
      </c>
      <c r="D298" s="105">
        <v>14.9</v>
      </c>
      <c r="E298" s="105">
        <v>22.46</v>
      </c>
      <c r="F298" s="105">
        <v>0</v>
      </c>
      <c r="G298" s="105"/>
      <c r="H298" s="105"/>
      <c r="I298" s="105"/>
    </row>
    <row r="299" spans="1:9" s="90" customFormat="1" ht="45" hidden="1" customHeight="1" x14ac:dyDescent="0.25">
      <c r="A299" s="11" t="s">
        <v>1522</v>
      </c>
      <c r="B299" s="20" t="s">
        <v>1525</v>
      </c>
      <c r="C299" s="11" t="s">
        <v>1268</v>
      </c>
      <c r="D299" s="105" t="s">
        <v>1500</v>
      </c>
      <c r="E299" s="105" t="s">
        <v>1500</v>
      </c>
      <c r="F299" s="105" t="s">
        <v>1500</v>
      </c>
      <c r="G299" s="105"/>
      <c r="H299" s="105"/>
      <c r="I299" s="105"/>
    </row>
    <row r="300" spans="1:9" s="90" customFormat="1" ht="45" hidden="1" customHeight="1" x14ac:dyDescent="0.25">
      <c r="A300" s="99" t="s">
        <v>332</v>
      </c>
      <c r="B300" s="100" t="s">
        <v>333</v>
      </c>
      <c r="C300" s="11"/>
      <c r="D300" s="91"/>
      <c r="E300" s="91"/>
      <c r="F300" s="91"/>
      <c r="G300" s="91"/>
      <c r="H300" s="91"/>
      <c r="I300" s="91"/>
    </row>
    <row r="301" spans="1:9" s="90" customFormat="1" ht="90" hidden="1" customHeight="1" x14ac:dyDescent="0.25">
      <c r="A301" s="11" t="s">
        <v>335</v>
      </c>
      <c r="B301" s="64" t="s">
        <v>334</v>
      </c>
      <c r="C301" s="11" t="s">
        <v>9</v>
      </c>
      <c r="D301" s="105">
        <v>0.34</v>
      </c>
      <c r="E301" s="105">
        <v>0</v>
      </c>
      <c r="F301" s="105" t="s">
        <v>1500</v>
      </c>
      <c r="G301" s="105"/>
      <c r="H301" s="105"/>
      <c r="I301" s="105"/>
    </row>
    <row r="302" spans="1:9" s="90" customFormat="1" ht="120" hidden="1" customHeight="1" x14ac:dyDescent="0.25">
      <c r="A302" s="11" t="s">
        <v>340</v>
      </c>
      <c r="B302" s="64" t="s">
        <v>341</v>
      </c>
      <c r="C302" s="11"/>
      <c r="D302" s="91"/>
      <c r="E302" s="91"/>
      <c r="F302" s="91"/>
      <c r="G302" s="91"/>
      <c r="H302" s="91"/>
      <c r="I302" s="91"/>
    </row>
    <row r="303" spans="1:9" s="90" customFormat="1" ht="15" hidden="1" customHeight="1" x14ac:dyDescent="0.25">
      <c r="A303" s="88"/>
      <c r="B303" s="64" t="s">
        <v>1365</v>
      </c>
      <c r="C303" s="11" t="s">
        <v>9</v>
      </c>
      <c r="D303" s="105">
        <v>90.93</v>
      </c>
      <c r="E303" s="105">
        <v>93.69747899159664</v>
      </c>
      <c r="F303" s="105" t="s">
        <v>1500</v>
      </c>
      <c r="G303" s="105"/>
      <c r="H303" s="105"/>
      <c r="I303" s="105"/>
    </row>
    <row r="304" spans="1:9" s="90" customFormat="1" ht="15" hidden="1" customHeight="1" x14ac:dyDescent="0.25">
      <c r="A304" s="88"/>
      <c r="B304" s="64" t="s">
        <v>1366</v>
      </c>
      <c r="C304" s="11" t="s">
        <v>9</v>
      </c>
      <c r="D304" s="105">
        <v>3.1</v>
      </c>
      <c r="E304" s="105">
        <v>3.8565426170468187</v>
      </c>
      <c r="F304" s="105" t="s">
        <v>1500</v>
      </c>
      <c r="G304" s="105"/>
      <c r="H304" s="105"/>
      <c r="I304" s="105"/>
    </row>
    <row r="305" spans="1:9" s="90" customFormat="1" ht="120" hidden="1" customHeight="1" x14ac:dyDescent="0.25">
      <c r="A305" s="11" t="s">
        <v>355</v>
      </c>
      <c r="B305" s="64" t="s">
        <v>354</v>
      </c>
      <c r="C305" s="11"/>
      <c r="D305" s="91"/>
      <c r="E305" s="91"/>
      <c r="F305" s="91"/>
      <c r="G305" s="91"/>
      <c r="H305" s="91"/>
      <c r="I305" s="91"/>
    </row>
    <row r="306" spans="1:9" s="90" customFormat="1" ht="15" hidden="1" customHeight="1" x14ac:dyDescent="0.25">
      <c r="A306" s="88"/>
      <c r="B306" s="64" t="s">
        <v>1365</v>
      </c>
      <c r="C306" s="11"/>
      <c r="D306" s="91"/>
      <c r="E306" s="91"/>
      <c r="F306" s="91"/>
      <c r="G306" s="91"/>
      <c r="H306" s="91"/>
      <c r="I306" s="91"/>
    </row>
    <row r="307" spans="1:9" s="90" customFormat="1" ht="15" hidden="1" customHeight="1" x14ac:dyDescent="0.25">
      <c r="A307" s="88"/>
      <c r="B307" s="64" t="s">
        <v>1351</v>
      </c>
      <c r="C307" s="11" t="s">
        <v>9</v>
      </c>
      <c r="D307" s="105">
        <v>63.46</v>
      </c>
      <c r="E307" s="105">
        <v>64.047929409405384</v>
      </c>
      <c r="F307" s="105" t="s">
        <v>1500</v>
      </c>
      <c r="G307" s="105"/>
      <c r="H307" s="105"/>
      <c r="I307" s="105"/>
    </row>
    <row r="308" spans="1:9" s="90" customFormat="1" ht="15" hidden="1" customHeight="1" x14ac:dyDescent="0.25">
      <c r="A308" s="88"/>
      <c r="B308" s="64" t="s">
        <v>1352</v>
      </c>
      <c r="C308" s="11" t="s">
        <v>9</v>
      </c>
      <c r="D308" s="105">
        <v>72.22</v>
      </c>
      <c r="E308" s="105">
        <v>66.417910447761201</v>
      </c>
      <c r="F308" s="105" t="s">
        <v>1500</v>
      </c>
      <c r="G308" s="105"/>
      <c r="H308" s="105"/>
      <c r="I308" s="105"/>
    </row>
    <row r="309" spans="1:9" s="90" customFormat="1" ht="15" hidden="1" customHeight="1" x14ac:dyDescent="0.25">
      <c r="A309" s="88"/>
      <c r="B309" s="64" t="s">
        <v>1366</v>
      </c>
      <c r="C309" s="11"/>
      <c r="D309" s="91"/>
      <c r="E309" s="91"/>
      <c r="F309" s="91"/>
      <c r="G309" s="91"/>
      <c r="H309" s="91"/>
      <c r="I309" s="91"/>
    </row>
    <row r="310" spans="1:9" s="90" customFormat="1" ht="15" hidden="1" customHeight="1" x14ac:dyDescent="0.25">
      <c r="A310" s="88"/>
      <c r="B310" s="64" t="s">
        <v>1351</v>
      </c>
      <c r="C310" s="11" t="s">
        <v>9</v>
      </c>
      <c r="D310" s="105">
        <v>36.54</v>
      </c>
      <c r="E310" s="105">
        <v>35.952070590594602</v>
      </c>
      <c r="F310" s="105" t="s">
        <v>1500</v>
      </c>
      <c r="G310" s="105"/>
      <c r="H310" s="105"/>
      <c r="I310" s="105"/>
    </row>
    <row r="311" spans="1:9" s="90" customFormat="1" ht="15" hidden="1" customHeight="1" x14ac:dyDescent="0.25">
      <c r="A311" s="88"/>
      <c r="B311" s="64" t="s">
        <v>1352</v>
      </c>
      <c r="C311" s="11" t="s">
        <v>9</v>
      </c>
      <c r="D311" s="105">
        <v>27.78</v>
      </c>
      <c r="E311" s="105">
        <v>33.582089552238806</v>
      </c>
      <c r="F311" s="105" t="s">
        <v>1500</v>
      </c>
      <c r="G311" s="105"/>
      <c r="H311" s="105"/>
      <c r="I311" s="105"/>
    </row>
    <row r="312" spans="1:9" s="90" customFormat="1" ht="60" hidden="1" customHeight="1" x14ac:dyDescent="0.25">
      <c r="A312" s="11" t="s">
        <v>360</v>
      </c>
      <c r="B312" s="64" t="s">
        <v>361</v>
      </c>
      <c r="C312" s="11" t="s">
        <v>9</v>
      </c>
      <c r="D312" s="105">
        <v>97.09</v>
      </c>
      <c r="E312" s="105">
        <v>97.674069627851139</v>
      </c>
      <c r="F312" s="105" t="s">
        <v>1500</v>
      </c>
      <c r="G312" s="105"/>
      <c r="H312" s="105"/>
      <c r="I312" s="105"/>
    </row>
    <row r="313" spans="1:9" s="90" customFormat="1" ht="105" hidden="1" customHeight="1" x14ac:dyDescent="0.25">
      <c r="A313" s="143" t="s">
        <v>370</v>
      </c>
      <c r="B313" s="64" t="s">
        <v>653</v>
      </c>
      <c r="C313" s="11"/>
      <c r="D313" s="91"/>
      <c r="E313" s="91"/>
      <c r="F313" s="91"/>
      <c r="G313" s="91"/>
      <c r="H313" s="91"/>
      <c r="I313" s="91"/>
    </row>
    <row r="314" spans="1:9" s="90" customFormat="1" ht="15" hidden="1" customHeight="1" x14ac:dyDescent="0.25">
      <c r="A314" s="143"/>
      <c r="B314" s="64" t="s">
        <v>1367</v>
      </c>
      <c r="C314" s="11"/>
      <c r="D314" s="91"/>
      <c r="E314" s="91"/>
      <c r="F314" s="91"/>
      <c r="G314" s="91"/>
      <c r="H314" s="91"/>
      <c r="I314" s="91"/>
    </row>
    <row r="315" spans="1:9" s="90" customFormat="1" ht="15" hidden="1" customHeight="1" x14ac:dyDescent="0.25">
      <c r="A315" s="143"/>
      <c r="B315" s="64" t="s">
        <v>1351</v>
      </c>
      <c r="C315" s="11" t="s">
        <v>9</v>
      </c>
      <c r="D315" s="105">
        <v>71.069999999999993</v>
      </c>
      <c r="E315" s="105">
        <v>67.251579264012832</v>
      </c>
      <c r="F315" s="105" t="s">
        <v>1500</v>
      </c>
      <c r="G315" s="105"/>
      <c r="H315" s="105"/>
      <c r="I315" s="105"/>
    </row>
    <row r="316" spans="1:9" s="90" customFormat="1" ht="15" hidden="1" customHeight="1" x14ac:dyDescent="0.25">
      <c r="A316" s="143"/>
      <c r="B316" s="64" t="s">
        <v>1352</v>
      </c>
      <c r="C316" s="11" t="s">
        <v>9</v>
      </c>
      <c r="D316" s="105">
        <v>69.44</v>
      </c>
      <c r="E316" s="105">
        <v>58.208955223880601</v>
      </c>
      <c r="F316" s="105" t="s">
        <v>1500</v>
      </c>
      <c r="G316" s="105"/>
      <c r="H316" s="105"/>
      <c r="I316" s="105"/>
    </row>
    <row r="317" spans="1:9" s="90" customFormat="1" ht="15" hidden="1" customHeight="1" x14ac:dyDescent="0.25">
      <c r="A317" s="143"/>
      <c r="B317" s="64" t="s">
        <v>1368</v>
      </c>
      <c r="C317" s="11"/>
      <c r="D317" s="91"/>
      <c r="E317" s="91"/>
      <c r="F317" s="91"/>
      <c r="G317" s="91"/>
      <c r="H317" s="91"/>
      <c r="I317" s="91"/>
    </row>
    <row r="318" spans="1:9" s="90" customFormat="1" ht="15" hidden="1" customHeight="1" x14ac:dyDescent="0.25">
      <c r="A318" s="143"/>
      <c r="B318" s="64" t="s">
        <v>1351</v>
      </c>
      <c r="C318" s="11" t="s">
        <v>9</v>
      </c>
      <c r="D318" s="105">
        <v>2.42</v>
      </c>
      <c r="E318" s="105">
        <v>2.266118520004011</v>
      </c>
      <c r="F318" s="105" t="s">
        <v>1500</v>
      </c>
      <c r="G318" s="105"/>
      <c r="H318" s="105"/>
      <c r="I318" s="105"/>
    </row>
    <row r="319" spans="1:9" s="90" customFormat="1" ht="15" hidden="1" customHeight="1" x14ac:dyDescent="0.25">
      <c r="A319" s="143"/>
      <c r="B319" s="64" t="s">
        <v>1352</v>
      </c>
      <c r="C319" s="11" t="s">
        <v>9</v>
      </c>
      <c r="D319" s="105">
        <v>0</v>
      </c>
      <c r="E319" s="105">
        <v>0</v>
      </c>
      <c r="F319" s="105" t="s">
        <v>1500</v>
      </c>
      <c r="G319" s="105"/>
      <c r="H319" s="105"/>
      <c r="I319" s="105"/>
    </row>
    <row r="320" spans="1:9" s="90" customFormat="1" ht="15" hidden="1" customHeight="1" x14ac:dyDescent="0.25">
      <c r="A320" s="143"/>
      <c r="B320" s="64" t="s">
        <v>1369</v>
      </c>
      <c r="C320" s="11"/>
      <c r="D320" s="91"/>
      <c r="E320" s="91"/>
      <c r="F320" s="91"/>
      <c r="G320" s="91"/>
      <c r="H320" s="91"/>
      <c r="I320" s="91"/>
    </row>
    <row r="321" spans="1:9" s="90" customFormat="1" ht="15" hidden="1" customHeight="1" x14ac:dyDescent="0.25">
      <c r="A321" s="143"/>
      <c r="B321" s="64" t="s">
        <v>1351</v>
      </c>
      <c r="C321" s="11" t="s">
        <v>9</v>
      </c>
      <c r="D321" s="105">
        <v>26.51</v>
      </c>
      <c r="E321" s="105">
        <v>30.482302215983154</v>
      </c>
      <c r="F321" s="105" t="s">
        <v>1500</v>
      </c>
      <c r="G321" s="105"/>
      <c r="H321" s="105"/>
      <c r="I321" s="105"/>
    </row>
    <row r="322" spans="1:9" s="90" customFormat="1" ht="15" hidden="1" customHeight="1" x14ac:dyDescent="0.25">
      <c r="A322" s="143"/>
      <c r="B322" s="64" t="s">
        <v>1352</v>
      </c>
      <c r="C322" s="11" t="s">
        <v>9</v>
      </c>
      <c r="D322" s="105">
        <v>30.56</v>
      </c>
      <c r="E322" s="105">
        <v>41.791044776119399</v>
      </c>
      <c r="F322" s="105" t="s">
        <v>1500</v>
      </c>
      <c r="G322" s="105"/>
      <c r="H322" s="105"/>
      <c r="I322" s="105"/>
    </row>
    <row r="323" spans="1:9" s="90" customFormat="1" ht="60" hidden="1" customHeight="1" x14ac:dyDescent="0.25">
      <c r="A323" s="143" t="s">
        <v>382</v>
      </c>
      <c r="B323" s="64" t="s">
        <v>381</v>
      </c>
      <c r="C323" s="11"/>
      <c r="D323" s="91"/>
      <c r="E323" s="91"/>
      <c r="F323" s="91"/>
      <c r="G323" s="91"/>
      <c r="H323" s="91"/>
      <c r="I323" s="91"/>
    </row>
    <row r="324" spans="1:9" s="90" customFormat="1" ht="15" hidden="1" customHeight="1" x14ac:dyDescent="0.25">
      <c r="A324" s="143"/>
      <c r="B324" s="64" t="s">
        <v>1351</v>
      </c>
      <c r="C324" s="11" t="s">
        <v>9</v>
      </c>
      <c r="D324" s="105">
        <v>34.83</v>
      </c>
      <c r="E324" s="105">
        <v>33.370099268023665</v>
      </c>
      <c r="F324" s="105" t="s">
        <v>1500</v>
      </c>
      <c r="G324" s="105"/>
      <c r="H324" s="105"/>
      <c r="I324" s="105"/>
    </row>
    <row r="325" spans="1:9" s="90" customFormat="1" ht="15" hidden="1" customHeight="1" x14ac:dyDescent="0.25">
      <c r="A325" s="143"/>
      <c r="B325" s="64" t="s">
        <v>1352</v>
      </c>
      <c r="C325" s="11" t="s">
        <v>9</v>
      </c>
      <c r="D325" s="105">
        <v>100</v>
      </c>
      <c r="E325" s="105">
        <v>100</v>
      </c>
      <c r="F325" s="105" t="s">
        <v>1500</v>
      </c>
      <c r="G325" s="105"/>
      <c r="H325" s="105"/>
      <c r="I325" s="105"/>
    </row>
    <row r="326" spans="1:9" s="90" customFormat="1" ht="60" hidden="1" customHeight="1" x14ac:dyDescent="0.25">
      <c r="A326" s="99" t="s">
        <v>384</v>
      </c>
      <c r="B326" s="100" t="s">
        <v>385</v>
      </c>
      <c r="C326" s="88"/>
      <c r="D326" s="91"/>
      <c r="E326" s="91"/>
      <c r="F326" s="91"/>
      <c r="G326" s="91"/>
      <c r="H326" s="91"/>
      <c r="I326" s="91"/>
    </row>
    <row r="327" spans="1:9" s="90" customFormat="1" ht="90" hidden="1" customHeight="1" x14ac:dyDescent="0.25">
      <c r="A327" s="11" t="s">
        <v>396</v>
      </c>
      <c r="B327" s="64" t="s">
        <v>386</v>
      </c>
      <c r="C327" s="11"/>
      <c r="D327" s="91"/>
      <c r="E327" s="91"/>
      <c r="F327" s="91"/>
      <c r="G327" s="91"/>
      <c r="H327" s="91"/>
      <c r="I327" s="91"/>
    </row>
    <row r="328" spans="1:9" s="90" customFormat="1" ht="15" hidden="1" customHeight="1" x14ac:dyDescent="0.25">
      <c r="A328" s="11"/>
      <c r="B328" s="64" t="s">
        <v>186</v>
      </c>
      <c r="C328" s="11" t="s">
        <v>9</v>
      </c>
      <c r="D328" s="105">
        <v>86.67</v>
      </c>
      <c r="E328" s="105" t="s">
        <v>1500</v>
      </c>
      <c r="F328" s="105" t="s">
        <v>1500</v>
      </c>
      <c r="G328" s="105"/>
      <c r="H328" s="105"/>
      <c r="I328" s="105"/>
    </row>
    <row r="329" spans="1:9" s="90" customFormat="1" ht="15" hidden="1" customHeight="1" x14ac:dyDescent="0.25">
      <c r="A329" s="11"/>
      <c r="B329" s="64" t="s">
        <v>387</v>
      </c>
      <c r="C329" s="11" t="s">
        <v>9</v>
      </c>
      <c r="D329" s="105">
        <v>100</v>
      </c>
      <c r="E329" s="105" t="s">
        <v>1500</v>
      </c>
      <c r="F329" s="105" t="s">
        <v>1500</v>
      </c>
      <c r="G329" s="105"/>
      <c r="H329" s="105"/>
      <c r="I329" s="105"/>
    </row>
    <row r="330" spans="1:9" s="90" customFormat="1" ht="90" hidden="1" customHeight="1" x14ac:dyDescent="0.25">
      <c r="A330" s="11" t="s">
        <v>397</v>
      </c>
      <c r="B330" s="64" t="s">
        <v>398</v>
      </c>
      <c r="C330" s="11"/>
      <c r="D330" s="91"/>
      <c r="E330" s="91"/>
      <c r="F330" s="91"/>
      <c r="G330" s="91"/>
      <c r="H330" s="91"/>
      <c r="I330" s="91"/>
    </row>
    <row r="331" spans="1:9" s="90" customFormat="1" ht="15" hidden="1" customHeight="1" x14ac:dyDescent="0.25">
      <c r="A331" s="142"/>
      <c r="B331" s="64" t="s">
        <v>1355</v>
      </c>
      <c r="C331" s="11"/>
      <c r="D331" s="91"/>
      <c r="E331" s="91"/>
      <c r="F331" s="91"/>
      <c r="G331" s="91"/>
      <c r="H331" s="91"/>
      <c r="I331" s="91"/>
    </row>
    <row r="332" spans="1:9" s="90" customFormat="1" ht="15" hidden="1" customHeight="1" x14ac:dyDescent="0.25">
      <c r="A332" s="142"/>
      <c r="B332" s="64" t="s">
        <v>1351</v>
      </c>
      <c r="C332" s="11" t="s">
        <v>9</v>
      </c>
      <c r="D332" s="105">
        <v>87.8</v>
      </c>
      <c r="E332" s="105">
        <v>90.14</v>
      </c>
      <c r="F332" s="105" t="s">
        <v>1500</v>
      </c>
      <c r="G332" s="105"/>
      <c r="H332" s="105"/>
      <c r="I332" s="105"/>
    </row>
    <row r="333" spans="1:9" s="90" customFormat="1" ht="15" hidden="1" customHeight="1" x14ac:dyDescent="0.25">
      <c r="A333" s="142"/>
      <c r="B333" s="64" t="s">
        <v>1352</v>
      </c>
      <c r="C333" s="11" t="s">
        <v>9</v>
      </c>
      <c r="D333" s="105">
        <v>100</v>
      </c>
      <c r="E333" s="105" t="s">
        <v>1500</v>
      </c>
      <c r="F333" s="105" t="s">
        <v>1500</v>
      </c>
      <c r="G333" s="105"/>
      <c r="H333" s="105"/>
      <c r="I333" s="105"/>
    </row>
    <row r="334" spans="1:9" s="90" customFormat="1" ht="15" hidden="1" customHeight="1" x14ac:dyDescent="0.25">
      <c r="A334" s="142"/>
      <c r="B334" s="64" t="s">
        <v>1370</v>
      </c>
      <c r="C334" s="11"/>
      <c r="D334" s="91"/>
      <c r="E334" s="91"/>
      <c r="F334" s="91"/>
      <c r="G334" s="91"/>
      <c r="H334" s="91"/>
      <c r="I334" s="91"/>
    </row>
    <row r="335" spans="1:9" s="90" customFormat="1" ht="15" hidden="1" customHeight="1" x14ac:dyDescent="0.25">
      <c r="A335" s="142"/>
      <c r="B335" s="64" t="s">
        <v>1351</v>
      </c>
      <c r="C335" s="11" t="s">
        <v>9</v>
      </c>
      <c r="D335" s="105">
        <v>97.51</v>
      </c>
      <c r="E335" s="105">
        <v>97.55</v>
      </c>
      <c r="F335" s="105" t="s">
        <v>1500</v>
      </c>
      <c r="G335" s="105"/>
      <c r="H335" s="105"/>
      <c r="I335" s="105"/>
    </row>
    <row r="336" spans="1:9" s="90" customFormat="1" ht="15" hidden="1" customHeight="1" x14ac:dyDescent="0.25">
      <c r="A336" s="142"/>
      <c r="B336" s="64" t="s">
        <v>1352</v>
      </c>
      <c r="C336" s="11" t="s">
        <v>9</v>
      </c>
      <c r="D336" s="105">
        <v>100</v>
      </c>
      <c r="E336" s="105" t="s">
        <v>1500</v>
      </c>
      <c r="F336" s="105" t="s">
        <v>1500</v>
      </c>
      <c r="G336" s="105"/>
      <c r="H336" s="105"/>
      <c r="I336" s="105"/>
    </row>
    <row r="337" spans="1:9" s="90" customFormat="1" ht="90" hidden="1" customHeight="1" x14ac:dyDescent="0.25">
      <c r="A337" s="11" t="s">
        <v>412</v>
      </c>
      <c r="B337" s="64" t="s">
        <v>407</v>
      </c>
      <c r="C337" s="11"/>
      <c r="D337" s="91"/>
      <c r="E337" s="91"/>
      <c r="F337" s="91"/>
      <c r="G337" s="91"/>
      <c r="H337" s="91"/>
      <c r="I337" s="91"/>
    </row>
    <row r="338" spans="1:9" s="90" customFormat="1" ht="15" hidden="1" customHeight="1" x14ac:dyDescent="0.25">
      <c r="A338" s="143"/>
      <c r="B338" s="64" t="s">
        <v>1284</v>
      </c>
      <c r="C338" s="11" t="s">
        <v>9</v>
      </c>
      <c r="D338" s="105">
        <v>10</v>
      </c>
      <c r="E338" s="105" t="s">
        <v>1500</v>
      </c>
      <c r="F338" s="105" t="s">
        <v>1500</v>
      </c>
      <c r="G338" s="105"/>
      <c r="H338" s="105"/>
      <c r="I338" s="105"/>
    </row>
    <row r="339" spans="1:9" s="90" customFormat="1" ht="15" hidden="1" customHeight="1" x14ac:dyDescent="0.25">
      <c r="A339" s="143"/>
      <c r="B339" s="64" t="s">
        <v>415</v>
      </c>
      <c r="C339" s="11" t="s">
        <v>9</v>
      </c>
      <c r="D339" s="105">
        <v>28.89</v>
      </c>
      <c r="E339" s="105" t="s">
        <v>1500</v>
      </c>
      <c r="F339" s="105" t="s">
        <v>1500</v>
      </c>
      <c r="G339" s="105"/>
      <c r="H339" s="105"/>
      <c r="I339" s="105"/>
    </row>
    <row r="340" spans="1:9" s="90" customFormat="1" ht="90" hidden="1" customHeight="1" x14ac:dyDescent="0.25">
      <c r="A340" s="11" t="s">
        <v>359</v>
      </c>
      <c r="B340" s="64" t="s">
        <v>413</v>
      </c>
      <c r="C340" s="11"/>
      <c r="D340" s="91"/>
      <c r="E340" s="91"/>
      <c r="F340" s="91"/>
      <c r="G340" s="91"/>
      <c r="H340" s="91"/>
      <c r="I340" s="91"/>
    </row>
    <row r="341" spans="1:9" s="90" customFormat="1" ht="15" hidden="1" customHeight="1" x14ac:dyDescent="0.25">
      <c r="A341" s="143"/>
      <c r="B341" s="64" t="s">
        <v>1371</v>
      </c>
      <c r="C341" s="11"/>
      <c r="D341" s="91"/>
      <c r="E341" s="91"/>
      <c r="F341" s="91"/>
      <c r="G341" s="91"/>
      <c r="H341" s="91"/>
      <c r="I341" s="91"/>
    </row>
    <row r="342" spans="1:9" s="90" customFormat="1" ht="15" hidden="1" customHeight="1" x14ac:dyDescent="0.25">
      <c r="A342" s="143"/>
      <c r="B342" s="64" t="s">
        <v>1351</v>
      </c>
      <c r="C342" s="11" t="s">
        <v>9</v>
      </c>
      <c r="D342" s="105">
        <v>30.96</v>
      </c>
      <c r="E342" s="105">
        <v>29.43</v>
      </c>
      <c r="F342" s="105" t="s">
        <v>1500</v>
      </c>
      <c r="G342" s="105"/>
      <c r="H342" s="105"/>
      <c r="I342" s="105"/>
    </row>
    <row r="343" spans="1:9" s="90" customFormat="1" ht="15" hidden="1" customHeight="1" x14ac:dyDescent="0.25">
      <c r="A343" s="143"/>
      <c r="B343" s="64" t="s">
        <v>1352</v>
      </c>
      <c r="C343" s="11" t="s">
        <v>9</v>
      </c>
      <c r="D343" s="105">
        <v>33.33</v>
      </c>
      <c r="E343" s="105" t="s">
        <v>1500</v>
      </c>
      <c r="F343" s="105" t="s">
        <v>1500</v>
      </c>
      <c r="G343" s="105"/>
      <c r="H343" s="105"/>
      <c r="I343" s="105"/>
    </row>
    <row r="344" spans="1:9" s="90" customFormat="1" ht="15" hidden="1" customHeight="1" x14ac:dyDescent="0.25">
      <c r="A344" s="143"/>
      <c r="B344" s="64" t="s">
        <v>1372</v>
      </c>
      <c r="C344" s="11"/>
      <c r="D344" s="91"/>
      <c r="E344" s="91"/>
      <c r="F344" s="91"/>
      <c r="G344" s="91"/>
      <c r="H344" s="91"/>
      <c r="I344" s="91"/>
    </row>
    <row r="345" spans="1:9" s="90" customFormat="1" ht="15" hidden="1" customHeight="1" x14ac:dyDescent="0.25">
      <c r="A345" s="143"/>
      <c r="B345" s="64" t="s">
        <v>1351</v>
      </c>
      <c r="C345" s="11" t="s">
        <v>9</v>
      </c>
      <c r="D345" s="105">
        <v>21</v>
      </c>
      <c r="E345" s="105">
        <v>27.200902934537247</v>
      </c>
      <c r="F345" s="105" t="s">
        <v>1500</v>
      </c>
      <c r="G345" s="105"/>
      <c r="H345" s="105"/>
      <c r="I345" s="105"/>
    </row>
    <row r="346" spans="1:9" s="90" customFormat="1" ht="15" hidden="1" customHeight="1" x14ac:dyDescent="0.25">
      <c r="A346" s="143"/>
      <c r="B346" s="64" t="s">
        <v>1352</v>
      </c>
      <c r="C346" s="11" t="s">
        <v>9</v>
      </c>
      <c r="D346" s="105">
        <v>0</v>
      </c>
      <c r="E346" s="105" t="s">
        <v>1500</v>
      </c>
      <c r="F346" s="105" t="s">
        <v>1500</v>
      </c>
      <c r="G346" s="105"/>
      <c r="H346" s="105"/>
      <c r="I346" s="105"/>
    </row>
    <row r="347" spans="1:9" s="90" customFormat="1" ht="75" hidden="1" customHeight="1" x14ac:dyDescent="0.25">
      <c r="A347" s="11" t="s">
        <v>421</v>
      </c>
      <c r="B347" s="64" t="s">
        <v>422</v>
      </c>
      <c r="C347" s="88"/>
      <c r="D347" s="91"/>
      <c r="E347" s="91"/>
      <c r="F347" s="91"/>
      <c r="G347" s="91"/>
      <c r="H347" s="91"/>
      <c r="I347" s="91"/>
    </row>
    <row r="348" spans="1:9" s="90" customFormat="1" ht="15" hidden="1" customHeight="1" x14ac:dyDescent="0.25">
      <c r="A348" s="145"/>
      <c r="B348" s="64" t="s">
        <v>1373</v>
      </c>
      <c r="C348" s="11" t="s">
        <v>9</v>
      </c>
      <c r="D348" s="105">
        <v>12.93</v>
      </c>
      <c r="E348" s="105" t="s">
        <v>1500</v>
      </c>
      <c r="F348" s="105" t="s">
        <v>1500</v>
      </c>
      <c r="G348" s="105"/>
      <c r="H348" s="105"/>
      <c r="I348" s="105"/>
    </row>
    <row r="349" spans="1:9" s="90" customFormat="1" ht="15" hidden="1" customHeight="1" x14ac:dyDescent="0.25">
      <c r="A349" s="145"/>
      <c r="B349" s="64" t="s">
        <v>1374</v>
      </c>
      <c r="C349" s="11" t="s">
        <v>9</v>
      </c>
      <c r="D349" s="105">
        <v>8.0299999999999994</v>
      </c>
      <c r="E349" s="105">
        <v>8.31</v>
      </c>
      <c r="F349" s="105">
        <v>0</v>
      </c>
      <c r="G349" s="105"/>
      <c r="H349" s="105"/>
      <c r="I349" s="105"/>
    </row>
    <row r="350" spans="1:9" s="90" customFormat="1" ht="75" hidden="1" customHeight="1" x14ac:dyDescent="0.25">
      <c r="A350" s="11" t="s">
        <v>443</v>
      </c>
      <c r="B350" s="64" t="s">
        <v>444</v>
      </c>
      <c r="C350" s="11" t="s">
        <v>9</v>
      </c>
      <c r="D350" s="91" t="s">
        <v>1500</v>
      </c>
      <c r="E350" s="91">
        <v>106.5</v>
      </c>
      <c r="F350" s="91">
        <v>0</v>
      </c>
      <c r="G350" s="91"/>
      <c r="H350" s="91"/>
      <c r="I350" s="91"/>
    </row>
    <row r="351" spans="1:9" s="90" customFormat="1" ht="45" hidden="1" customHeight="1" x14ac:dyDescent="0.25">
      <c r="A351" s="11" t="s">
        <v>456</v>
      </c>
      <c r="B351" s="80" t="s">
        <v>1526</v>
      </c>
      <c r="C351" s="11" t="s">
        <v>9</v>
      </c>
      <c r="D351" s="91">
        <v>0</v>
      </c>
      <c r="E351" s="91">
        <v>0</v>
      </c>
      <c r="F351" s="91">
        <v>0</v>
      </c>
      <c r="G351" s="91"/>
      <c r="H351" s="91"/>
      <c r="I351" s="91"/>
    </row>
    <row r="352" spans="1:9" s="90" customFormat="1" ht="75" hidden="1" customHeight="1" x14ac:dyDescent="0.25">
      <c r="A352" s="11" t="s">
        <v>457</v>
      </c>
      <c r="B352" s="80" t="s">
        <v>1527</v>
      </c>
      <c r="C352" s="11" t="s">
        <v>9</v>
      </c>
      <c r="D352" s="91">
        <v>0</v>
      </c>
      <c r="E352" s="91">
        <v>0</v>
      </c>
      <c r="F352" s="91">
        <v>0</v>
      </c>
      <c r="G352" s="91"/>
      <c r="H352" s="91"/>
      <c r="I352" s="91"/>
    </row>
    <row r="353" spans="1:9" s="90" customFormat="1" ht="90" hidden="1" customHeight="1" x14ac:dyDescent="0.25">
      <c r="A353" s="75" t="s">
        <v>1528</v>
      </c>
      <c r="B353" s="80" t="s">
        <v>1529</v>
      </c>
      <c r="C353" s="11" t="s">
        <v>9</v>
      </c>
      <c r="D353" s="91" t="s">
        <v>1500</v>
      </c>
      <c r="E353" s="91" t="s">
        <v>1500</v>
      </c>
      <c r="F353" s="91" t="s">
        <v>1500</v>
      </c>
      <c r="G353" s="91"/>
      <c r="H353" s="91"/>
      <c r="I353" s="91"/>
    </row>
    <row r="354" spans="1:9" s="90" customFormat="1" ht="90" hidden="1" customHeight="1" x14ac:dyDescent="0.25">
      <c r="A354" s="75" t="s">
        <v>1532</v>
      </c>
      <c r="B354" s="80" t="s">
        <v>1533</v>
      </c>
      <c r="C354" s="11" t="s">
        <v>9</v>
      </c>
      <c r="D354" s="91" t="s">
        <v>1500</v>
      </c>
      <c r="E354" s="91" t="s">
        <v>1500</v>
      </c>
      <c r="F354" s="91" t="s">
        <v>1500</v>
      </c>
      <c r="G354" s="91"/>
      <c r="H354" s="91"/>
      <c r="I354" s="91"/>
    </row>
    <row r="355" spans="1:9" s="90" customFormat="1" ht="60" hidden="1" customHeight="1" x14ac:dyDescent="0.25">
      <c r="A355" s="99" t="s">
        <v>458</v>
      </c>
      <c r="B355" s="100" t="s">
        <v>459</v>
      </c>
      <c r="C355" s="11"/>
      <c r="D355" s="91"/>
      <c r="E355" s="91"/>
      <c r="F355" s="91"/>
      <c r="G355" s="91"/>
      <c r="H355" s="91"/>
      <c r="I355" s="91"/>
    </row>
    <row r="356" spans="1:9" s="90" customFormat="1" ht="75" hidden="1" customHeight="1" x14ac:dyDescent="0.25">
      <c r="A356" s="11" t="s">
        <v>461</v>
      </c>
      <c r="B356" s="64" t="s">
        <v>460</v>
      </c>
      <c r="C356" s="11"/>
      <c r="D356" s="91"/>
      <c r="E356" s="91"/>
      <c r="F356" s="91"/>
      <c r="G356" s="91"/>
      <c r="H356" s="91"/>
      <c r="I356" s="91"/>
    </row>
    <row r="357" spans="1:9" s="90" customFormat="1" ht="15" hidden="1" customHeight="1" x14ac:dyDescent="0.25">
      <c r="A357" s="11"/>
      <c r="B357" s="64" t="s">
        <v>1351</v>
      </c>
      <c r="C357" s="11" t="s">
        <v>9</v>
      </c>
      <c r="D357" s="105">
        <v>85.94</v>
      </c>
      <c r="E357" s="105">
        <v>88.349195930423363</v>
      </c>
      <c r="F357" s="105" t="s">
        <v>1500</v>
      </c>
      <c r="G357" s="105"/>
      <c r="H357" s="105"/>
      <c r="I357" s="105"/>
    </row>
    <row r="358" spans="1:9" s="90" customFormat="1" ht="15" hidden="1" customHeight="1" x14ac:dyDescent="0.25">
      <c r="A358" s="11"/>
      <c r="B358" s="64" t="s">
        <v>1352</v>
      </c>
      <c r="C358" s="11" t="s">
        <v>9</v>
      </c>
      <c r="D358" s="105">
        <v>0</v>
      </c>
      <c r="E358" s="105" t="s">
        <v>1500</v>
      </c>
      <c r="F358" s="105" t="s">
        <v>1500</v>
      </c>
      <c r="G358" s="105"/>
      <c r="H358" s="105"/>
      <c r="I358" s="105"/>
    </row>
    <row r="359" spans="1:9" s="90" customFormat="1" ht="60" hidden="1" customHeight="1" x14ac:dyDescent="0.25">
      <c r="A359" s="11" t="s">
        <v>466</v>
      </c>
      <c r="B359" s="64" t="s">
        <v>467</v>
      </c>
      <c r="C359" s="11"/>
      <c r="D359" s="91"/>
      <c r="E359" s="91"/>
      <c r="F359" s="91"/>
      <c r="G359" s="91"/>
      <c r="H359" s="91"/>
      <c r="I359" s="91"/>
    </row>
    <row r="360" spans="1:9" s="90" customFormat="1" ht="15" hidden="1" customHeight="1" x14ac:dyDescent="0.25">
      <c r="A360" s="11"/>
      <c r="B360" s="64" t="s">
        <v>1351</v>
      </c>
      <c r="C360" s="11" t="s">
        <v>9</v>
      </c>
      <c r="D360" s="105">
        <v>162.6</v>
      </c>
      <c r="E360" s="105">
        <v>162.13</v>
      </c>
      <c r="F360" s="105">
        <v>0</v>
      </c>
      <c r="G360" s="105"/>
      <c r="H360" s="105"/>
      <c r="I360" s="105"/>
    </row>
    <row r="361" spans="1:9" s="90" customFormat="1" ht="15" hidden="1" customHeight="1" x14ac:dyDescent="0.25">
      <c r="A361" s="11"/>
      <c r="B361" s="64" t="s">
        <v>1352</v>
      </c>
      <c r="C361" s="11" t="s">
        <v>9</v>
      </c>
      <c r="D361" s="105">
        <v>85.14</v>
      </c>
      <c r="E361" s="105">
        <v>797.45</v>
      </c>
      <c r="F361" s="105">
        <v>0</v>
      </c>
      <c r="G361" s="105"/>
      <c r="H361" s="105"/>
      <c r="I361" s="105"/>
    </row>
    <row r="362" spans="1:9" s="90" customFormat="1" ht="75" hidden="1" customHeight="1" x14ac:dyDescent="0.25">
      <c r="A362" s="11" t="s">
        <v>758</v>
      </c>
      <c r="B362" s="64" t="s">
        <v>477</v>
      </c>
      <c r="C362" s="11"/>
      <c r="D362" s="91"/>
      <c r="E362" s="91"/>
      <c r="F362" s="91"/>
      <c r="G362" s="91"/>
      <c r="H362" s="91"/>
      <c r="I362" s="91"/>
    </row>
    <row r="363" spans="1:9" s="90" customFormat="1" ht="15" hidden="1" customHeight="1" x14ac:dyDescent="0.25">
      <c r="A363" s="142"/>
      <c r="B363" s="64" t="s">
        <v>186</v>
      </c>
      <c r="C363" s="11" t="s">
        <v>1268</v>
      </c>
      <c r="D363" s="105">
        <v>20.02</v>
      </c>
      <c r="E363" s="105" t="s">
        <v>1500</v>
      </c>
      <c r="F363" s="105" t="s">
        <v>1500</v>
      </c>
      <c r="G363" s="105"/>
      <c r="H363" s="105"/>
      <c r="I363" s="105"/>
    </row>
    <row r="364" spans="1:9" s="90" customFormat="1" ht="15" hidden="1" customHeight="1" x14ac:dyDescent="0.25">
      <c r="A364" s="142"/>
      <c r="B364" s="64" t="s">
        <v>220</v>
      </c>
      <c r="C364" s="11" t="s">
        <v>1268</v>
      </c>
      <c r="D364" s="105">
        <v>7.16</v>
      </c>
      <c r="E364" s="105" t="s">
        <v>1500</v>
      </c>
      <c r="F364" s="105" t="s">
        <v>1500</v>
      </c>
      <c r="G364" s="105"/>
      <c r="H364" s="105"/>
      <c r="I364" s="105"/>
    </row>
    <row r="365" spans="1:9" s="90" customFormat="1" ht="60" hidden="1" customHeight="1" x14ac:dyDescent="0.25">
      <c r="A365" s="11" t="s">
        <v>476</v>
      </c>
      <c r="B365" s="64" t="s">
        <v>478</v>
      </c>
      <c r="C365" s="11"/>
      <c r="D365" s="91"/>
      <c r="E365" s="91"/>
      <c r="F365" s="91"/>
      <c r="G365" s="91"/>
      <c r="H365" s="91"/>
      <c r="I365" s="91"/>
    </row>
    <row r="366" spans="1:9" s="90" customFormat="1" ht="15" hidden="1" customHeight="1" x14ac:dyDescent="0.25">
      <c r="A366" s="11"/>
      <c r="B366" s="64" t="s">
        <v>1355</v>
      </c>
      <c r="C366" s="11"/>
      <c r="D366" s="91"/>
      <c r="E366" s="91"/>
      <c r="F366" s="91"/>
      <c r="G366" s="91"/>
      <c r="H366" s="91"/>
      <c r="I366" s="91"/>
    </row>
    <row r="367" spans="1:9" s="90" customFormat="1" ht="15" hidden="1" customHeight="1" x14ac:dyDescent="0.25">
      <c r="A367" s="11"/>
      <c r="B367" s="64" t="s">
        <v>1351</v>
      </c>
      <c r="C367" s="11" t="s">
        <v>1268</v>
      </c>
      <c r="D367" s="105">
        <v>28.14</v>
      </c>
      <c r="E367" s="105">
        <v>29.02</v>
      </c>
      <c r="F367" s="105">
        <v>0</v>
      </c>
      <c r="G367" s="105"/>
      <c r="H367" s="105"/>
      <c r="I367" s="105"/>
    </row>
    <row r="368" spans="1:9" s="90" customFormat="1" ht="15" hidden="1" customHeight="1" x14ac:dyDescent="0.25">
      <c r="A368" s="11"/>
      <c r="B368" s="64" t="s">
        <v>1352</v>
      </c>
      <c r="C368" s="11" t="s">
        <v>1268</v>
      </c>
      <c r="D368" s="105">
        <v>19.16</v>
      </c>
      <c r="E368" s="105">
        <v>23.92</v>
      </c>
      <c r="F368" s="105">
        <v>0</v>
      </c>
      <c r="G368" s="105"/>
      <c r="H368" s="105"/>
      <c r="I368" s="105"/>
    </row>
    <row r="369" spans="1:9" s="90" customFormat="1" ht="15" hidden="1" customHeight="1" x14ac:dyDescent="0.25">
      <c r="A369" s="11"/>
      <c r="B369" s="64" t="s">
        <v>1356</v>
      </c>
      <c r="C369" s="11"/>
      <c r="D369" s="91"/>
      <c r="E369" s="91"/>
      <c r="F369" s="91"/>
      <c r="G369" s="91"/>
      <c r="H369" s="91"/>
      <c r="I369" s="91"/>
    </row>
    <row r="370" spans="1:9" s="90" customFormat="1" ht="15" hidden="1" customHeight="1" x14ac:dyDescent="0.25">
      <c r="A370" s="11"/>
      <c r="B370" s="64" t="s">
        <v>1351</v>
      </c>
      <c r="C370" s="11" t="s">
        <v>1268</v>
      </c>
      <c r="D370" s="105">
        <v>22.89</v>
      </c>
      <c r="E370" s="105">
        <v>25.68</v>
      </c>
      <c r="F370" s="105">
        <v>0</v>
      </c>
      <c r="G370" s="105"/>
      <c r="H370" s="105"/>
      <c r="I370" s="105"/>
    </row>
    <row r="371" spans="1:9" s="90" customFormat="1" ht="15" hidden="1" customHeight="1" x14ac:dyDescent="0.25">
      <c r="A371" s="11"/>
      <c r="B371" s="64" t="s">
        <v>1352</v>
      </c>
      <c r="C371" s="11" t="s">
        <v>1268</v>
      </c>
      <c r="D371" s="105">
        <v>19.16</v>
      </c>
      <c r="E371" s="105">
        <v>15.55</v>
      </c>
      <c r="F371" s="105">
        <v>0</v>
      </c>
      <c r="G371" s="105"/>
      <c r="H371" s="105"/>
      <c r="I371" s="105"/>
    </row>
    <row r="372" spans="1:9" s="90" customFormat="1" ht="75" hidden="1" customHeight="1" x14ac:dyDescent="0.25">
      <c r="A372" s="11" t="s">
        <v>485</v>
      </c>
      <c r="B372" s="64" t="s">
        <v>486</v>
      </c>
      <c r="C372" s="11"/>
      <c r="D372" s="91"/>
      <c r="E372" s="91"/>
      <c r="F372" s="91"/>
      <c r="G372" s="91"/>
      <c r="H372" s="91"/>
      <c r="I372" s="91"/>
    </row>
    <row r="373" spans="1:9" s="90" customFormat="1" ht="15" hidden="1" customHeight="1" x14ac:dyDescent="0.25">
      <c r="A373" s="88"/>
      <c r="B373" s="64" t="s">
        <v>1351</v>
      </c>
      <c r="C373" s="11" t="s">
        <v>9</v>
      </c>
      <c r="D373" s="105">
        <v>65.22</v>
      </c>
      <c r="E373" s="105">
        <v>78.569999999999993</v>
      </c>
      <c r="F373" s="105" t="s">
        <v>1500</v>
      </c>
      <c r="G373" s="105"/>
      <c r="H373" s="105"/>
      <c r="I373" s="105"/>
    </row>
    <row r="374" spans="1:9" s="90" customFormat="1" ht="15" hidden="1" customHeight="1" x14ac:dyDescent="0.25">
      <c r="A374" s="88"/>
      <c r="B374" s="64" t="s">
        <v>1352</v>
      </c>
      <c r="C374" s="11" t="s">
        <v>9</v>
      </c>
      <c r="D374" s="105">
        <v>100</v>
      </c>
      <c r="E374" s="105">
        <v>100</v>
      </c>
      <c r="F374" s="105" t="s">
        <v>1500</v>
      </c>
      <c r="G374" s="105"/>
      <c r="H374" s="105"/>
      <c r="I374" s="105"/>
    </row>
    <row r="375" spans="1:9" s="90" customFormat="1" ht="120" hidden="1" customHeight="1" x14ac:dyDescent="0.25">
      <c r="A375" s="11" t="s">
        <v>1287</v>
      </c>
      <c r="B375" s="20" t="s">
        <v>491</v>
      </c>
      <c r="C375" s="11"/>
      <c r="D375" s="91"/>
      <c r="E375" s="91"/>
      <c r="F375" s="91"/>
      <c r="G375" s="91"/>
      <c r="H375" s="91"/>
      <c r="I375" s="91"/>
    </row>
    <row r="376" spans="1:9" s="90" customFormat="1" ht="30" hidden="1" customHeight="1" x14ac:dyDescent="0.25">
      <c r="A376" s="88"/>
      <c r="B376" s="20" t="s">
        <v>492</v>
      </c>
      <c r="C376" s="11" t="s">
        <v>1267</v>
      </c>
      <c r="D376" s="105">
        <v>17.489999999999998</v>
      </c>
      <c r="E376" s="105" t="s">
        <v>1500</v>
      </c>
      <c r="F376" s="105" t="s">
        <v>1500</v>
      </c>
      <c r="G376" s="105"/>
      <c r="H376" s="105"/>
      <c r="I376" s="105"/>
    </row>
    <row r="377" spans="1:9" s="90" customFormat="1" ht="30" hidden="1" customHeight="1" x14ac:dyDescent="0.25">
      <c r="A377" s="88"/>
      <c r="B377" s="20" t="s">
        <v>497</v>
      </c>
      <c r="C377" s="11" t="s">
        <v>1267</v>
      </c>
      <c r="D377" s="105">
        <v>24.07</v>
      </c>
      <c r="E377" s="105">
        <v>26.16</v>
      </c>
      <c r="F377" s="105">
        <v>0</v>
      </c>
      <c r="G377" s="105"/>
      <c r="H377" s="105"/>
      <c r="I377" s="105"/>
    </row>
    <row r="378" spans="1:9" s="90" customFormat="1" ht="30" hidden="1" customHeight="1" x14ac:dyDescent="0.25">
      <c r="A378" s="99" t="s">
        <v>503</v>
      </c>
      <c r="B378" s="100" t="s">
        <v>504</v>
      </c>
      <c r="C378" s="88"/>
      <c r="D378" s="91"/>
      <c r="E378" s="91"/>
      <c r="F378" s="91"/>
      <c r="G378" s="91"/>
      <c r="H378" s="91"/>
      <c r="I378" s="91"/>
    </row>
    <row r="379" spans="1:9" s="90" customFormat="1" ht="75" hidden="1" customHeight="1" x14ac:dyDescent="0.25">
      <c r="A379" s="11" t="s">
        <v>506</v>
      </c>
      <c r="B379" s="64" t="s">
        <v>505</v>
      </c>
      <c r="C379" s="11"/>
      <c r="D379" s="91"/>
      <c r="E379" s="91"/>
      <c r="F379" s="91"/>
      <c r="G379" s="91"/>
      <c r="H379" s="91"/>
      <c r="I379" s="91"/>
    </row>
    <row r="380" spans="1:9" s="90" customFormat="1" ht="15" hidden="1" customHeight="1" x14ac:dyDescent="0.25">
      <c r="A380" s="11"/>
      <c r="B380" s="64" t="s">
        <v>1351</v>
      </c>
      <c r="C380" s="11" t="s">
        <v>9</v>
      </c>
      <c r="D380" s="105">
        <v>50</v>
      </c>
      <c r="E380" s="105">
        <v>53.57</v>
      </c>
      <c r="F380" s="105">
        <v>0</v>
      </c>
      <c r="G380" s="105"/>
      <c r="H380" s="105"/>
      <c r="I380" s="105"/>
    </row>
    <row r="381" spans="1:9" s="90" customFormat="1" ht="15" hidden="1" customHeight="1" x14ac:dyDescent="0.25">
      <c r="A381" s="11"/>
      <c r="B381" s="64" t="s">
        <v>1352</v>
      </c>
      <c r="C381" s="11" t="s">
        <v>9</v>
      </c>
      <c r="D381" s="105">
        <v>100</v>
      </c>
      <c r="E381" s="105">
        <v>100</v>
      </c>
      <c r="F381" s="105">
        <v>0</v>
      </c>
      <c r="G381" s="105"/>
      <c r="H381" s="105"/>
      <c r="I381" s="105"/>
    </row>
    <row r="382" spans="1:9" s="90" customFormat="1" ht="45" hidden="1" customHeight="1" x14ac:dyDescent="0.25">
      <c r="A382" s="11" t="s">
        <v>512</v>
      </c>
      <c r="B382" s="64" t="s">
        <v>513</v>
      </c>
      <c r="C382" s="11"/>
      <c r="D382" s="91"/>
      <c r="E382" s="91"/>
      <c r="F382" s="91"/>
      <c r="G382" s="91"/>
      <c r="H382" s="91"/>
      <c r="I382" s="91"/>
    </row>
    <row r="383" spans="1:9" s="90" customFormat="1" ht="15" hidden="1" customHeight="1" x14ac:dyDescent="0.25">
      <c r="A383" s="11"/>
      <c r="B383" s="64" t="s">
        <v>1373</v>
      </c>
      <c r="C383" s="11" t="s">
        <v>9</v>
      </c>
      <c r="D383" s="105">
        <v>1.27</v>
      </c>
      <c r="E383" s="105">
        <v>1.86</v>
      </c>
      <c r="F383" s="105">
        <v>0</v>
      </c>
      <c r="G383" s="105"/>
      <c r="H383" s="105"/>
      <c r="I383" s="105"/>
    </row>
    <row r="384" spans="1:9" s="90" customFormat="1" ht="15" hidden="1" customHeight="1" x14ac:dyDescent="0.25">
      <c r="A384" s="11"/>
      <c r="B384" s="64" t="s">
        <v>1374</v>
      </c>
      <c r="C384" s="11" t="s">
        <v>9</v>
      </c>
      <c r="D384" s="105" t="s">
        <v>1500</v>
      </c>
      <c r="E384" s="105">
        <v>0.69</v>
      </c>
      <c r="F384" s="105">
        <v>0</v>
      </c>
      <c r="G384" s="105"/>
      <c r="H384" s="105"/>
      <c r="I384" s="105"/>
    </row>
    <row r="385" spans="1:9" s="90" customFormat="1" ht="45" hidden="1" customHeight="1" x14ac:dyDescent="0.25">
      <c r="A385" s="11" t="s">
        <v>527</v>
      </c>
      <c r="B385" s="64" t="s">
        <v>520</v>
      </c>
      <c r="C385" s="11"/>
      <c r="D385" s="91"/>
      <c r="E385" s="91"/>
      <c r="F385" s="91"/>
      <c r="G385" s="91"/>
      <c r="H385" s="91"/>
      <c r="I385" s="91"/>
    </row>
    <row r="386" spans="1:9" s="90" customFormat="1" ht="15" hidden="1" customHeight="1" x14ac:dyDescent="0.25">
      <c r="A386" s="145"/>
      <c r="B386" s="64" t="s">
        <v>1373</v>
      </c>
      <c r="C386" s="11" t="s">
        <v>9</v>
      </c>
      <c r="D386" s="105">
        <v>0.94</v>
      </c>
      <c r="E386" s="105">
        <v>0.93</v>
      </c>
      <c r="F386" s="105">
        <v>0</v>
      </c>
      <c r="G386" s="105"/>
      <c r="H386" s="105"/>
      <c r="I386" s="105"/>
    </row>
    <row r="387" spans="1:9" s="90" customFormat="1" ht="15" hidden="1" customHeight="1" x14ac:dyDescent="0.25">
      <c r="A387" s="145"/>
      <c r="B387" s="64" t="s">
        <v>1375</v>
      </c>
      <c r="C387" s="11" t="s">
        <v>9</v>
      </c>
      <c r="D387" s="105">
        <v>0.39</v>
      </c>
      <c r="E387" s="105">
        <v>0.62</v>
      </c>
      <c r="F387" s="105">
        <v>0</v>
      </c>
      <c r="G387" s="105"/>
      <c r="H387" s="105"/>
      <c r="I387" s="105"/>
    </row>
    <row r="388" spans="1:9" s="90" customFormat="1" ht="45" hidden="1" customHeight="1" x14ac:dyDescent="0.25">
      <c r="A388" s="11" t="s">
        <v>1536</v>
      </c>
      <c r="B388" s="20" t="s">
        <v>1537</v>
      </c>
      <c r="C388" s="11"/>
      <c r="D388" s="105"/>
      <c r="E388" s="105"/>
      <c r="F388" s="105"/>
      <c r="G388" s="105"/>
      <c r="H388" s="105"/>
      <c r="I388" s="105"/>
    </row>
    <row r="389" spans="1:9" s="90" customFormat="1" ht="15" hidden="1" customHeight="1" x14ac:dyDescent="0.25">
      <c r="A389" s="145"/>
      <c r="B389" s="20" t="s">
        <v>1538</v>
      </c>
      <c r="C389" s="11" t="s">
        <v>1076</v>
      </c>
      <c r="D389" s="105">
        <v>0</v>
      </c>
      <c r="E389" s="105">
        <v>0</v>
      </c>
      <c r="F389" s="105">
        <v>0</v>
      </c>
      <c r="G389" s="105"/>
      <c r="H389" s="105"/>
      <c r="I389" s="105"/>
    </row>
    <row r="390" spans="1:9" s="90" customFormat="1" ht="15" hidden="1" customHeight="1" x14ac:dyDescent="0.25">
      <c r="A390" s="145"/>
      <c r="B390" s="20" t="s">
        <v>1539</v>
      </c>
      <c r="C390" s="11" t="s">
        <v>1076</v>
      </c>
      <c r="D390" s="105">
        <v>0</v>
      </c>
      <c r="E390" s="105">
        <v>0</v>
      </c>
      <c r="F390" s="105">
        <v>0</v>
      </c>
      <c r="G390" s="105"/>
      <c r="H390" s="105"/>
      <c r="I390" s="105"/>
    </row>
    <row r="391" spans="1:9" s="90" customFormat="1" ht="15" hidden="1" customHeight="1" x14ac:dyDescent="0.25">
      <c r="A391" s="145"/>
      <c r="B391" s="20" t="s">
        <v>1540</v>
      </c>
      <c r="C391" s="11" t="s">
        <v>1076</v>
      </c>
      <c r="D391" s="105">
        <v>0</v>
      </c>
      <c r="E391" s="105">
        <v>0</v>
      </c>
      <c r="F391" s="105">
        <v>0</v>
      </c>
      <c r="G391" s="105"/>
      <c r="H391" s="105"/>
      <c r="I391" s="105"/>
    </row>
    <row r="392" spans="1:9" s="90" customFormat="1" ht="90" hidden="1" customHeight="1" x14ac:dyDescent="0.25">
      <c r="A392" s="11" t="s">
        <v>1541</v>
      </c>
      <c r="B392" s="20" t="s">
        <v>1542</v>
      </c>
      <c r="C392" s="11"/>
      <c r="D392" s="105"/>
      <c r="E392" s="105"/>
      <c r="F392" s="105"/>
      <c r="G392" s="105"/>
      <c r="H392" s="105"/>
      <c r="I392" s="105"/>
    </row>
    <row r="393" spans="1:9" s="90" customFormat="1" ht="15" hidden="1" customHeight="1" x14ac:dyDescent="0.25">
      <c r="A393" s="145"/>
      <c r="B393" s="20" t="s">
        <v>514</v>
      </c>
      <c r="C393" s="11" t="s">
        <v>9</v>
      </c>
      <c r="D393" s="105" t="s">
        <v>1500</v>
      </c>
      <c r="E393" s="105" t="s">
        <v>1500</v>
      </c>
      <c r="F393" s="105" t="s">
        <v>1500</v>
      </c>
      <c r="G393" s="105"/>
      <c r="H393" s="105"/>
      <c r="I393" s="105"/>
    </row>
    <row r="394" spans="1:9" s="90" customFormat="1" ht="15" hidden="1" customHeight="1" x14ac:dyDescent="0.25">
      <c r="A394" s="145"/>
      <c r="B394" s="20" t="s">
        <v>1286</v>
      </c>
      <c r="C394" s="11" t="s">
        <v>9</v>
      </c>
      <c r="D394" s="105" t="s">
        <v>1500</v>
      </c>
      <c r="E394" s="105" t="s">
        <v>1500</v>
      </c>
      <c r="F394" s="105" t="s">
        <v>1500</v>
      </c>
      <c r="G394" s="105"/>
      <c r="H394" s="105"/>
      <c r="I394" s="105"/>
    </row>
    <row r="395" spans="1:9" s="90" customFormat="1" ht="45" hidden="1" customHeight="1" x14ac:dyDescent="0.25">
      <c r="A395" s="99" t="s">
        <v>531</v>
      </c>
      <c r="B395" s="100" t="s">
        <v>532</v>
      </c>
      <c r="C395" s="88"/>
      <c r="D395" s="91"/>
      <c r="E395" s="91"/>
      <c r="F395" s="91"/>
      <c r="G395" s="91"/>
      <c r="H395" s="91"/>
      <c r="I395" s="91"/>
    </row>
    <row r="396" spans="1:9" s="90" customFormat="1" ht="60" hidden="1" customHeight="1" x14ac:dyDescent="0.25">
      <c r="A396" s="11" t="s">
        <v>534</v>
      </c>
      <c r="B396" s="64" t="s">
        <v>533</v>
      </c>
      <c r="C396" s="11"/>
      <c r="D396" s="91"/>
      <c r="E396" s="91"/>
      <c r="F396" s="91"/>
      <c r="G396" s="91"/>
      <c r="H396" s="91"/>
      <c r="I396" s="91"/>
    </row>
    <row r="397" spans="1:9" s="90" customFormat="1" ht="15" hidden="1" customHeight="1" x14ac:dyDescent="0.25">
      <c r="A397" s="11"/>
      <c r="B397" s="64" t="s">
        <v>1351</v>
      </c>
      <c r="C397" s="11" t="s">
        <v>9</v>
      </c>
      <c r="D397" s="105">
        <v>51.55</v>
      </c>
      <c r="E397" s="105">
        <v>53.15</v>
      </c>
      <c r="F397" s="105">
        <v>0</v>
      </c>
      <c r="G397" s="105"/>
      <c r="H397" s="105"/>
      <c r="I397" s="105"/>
    </row>
    <row r="398" spans="1:9" s="90" customFormat="1" ht="15" hidden="1" customHeight="1" x14ac:dyDescent="0.25">
      <c r="A398" s="11"/>
      <c r="B398" s="64" t="s">
        <v>1352</v>
      </c>
      <c r="C398" s="11" t="s">
        <v>9</v>
      </c>
      <c r="D398" s="105">
        <v>0</v>
      </c>
      <c r="E398" s="105">
        <v>0</v>
      </c>
      <c r="F398" s="105">
        <v>0</v>
      </c>
      <c r="G398" s="105"/>
      <c r="H398" s="105"/>
      <c r="I398" s="105"/>
    </row>
    <row r="399" spans="1:9" s="90" customFormat="1" ht="45" hidden="1" customHeight="1" x14ac:dyDescent="0.25">
      <c r="A399" s="11" t="s">
        <v>539</v>
      </c>
      <c r="B399" s="64" t="s">
        <v>540</v>
      </c>
      <c r="C399" s="88"/>
      <c r="D399" s="91"/>
      <c r="E399" s="91"/>
      <c r="F399" s="91"/>
      <c r="G399" s="91"/>
      <c r="H399" s="91"/>
      <c r="I399" s="91"/>
    </row>
    <row r="400" spans="1:9" s="90" customFormat="1" ht="15" hidden="1" customHeight="1" x14ac:dyDescent="0.25">
      <c r="A400" s="88"/>
      <c r="B400" s="64" t="s">
        <v>1376</v>
      </c>
      <c r="C400" s="11" t="s">
        <v>9</v>
      </c>
      <c r="D400" s="91"/>
      <c r="E400" s="91"/>
      <c r="F400" s="91"/>
      <c r="G400" s="91"/>
      <c r="H400" s="91"/>
      <c r="I400" s="91"/>
    </row>
    <row r="401" spans="1:9" s="90" customFormat="1" ht="15" hidden="1" customHeight="1" x14ac:dyDescent="0.25">
      <c r="A401" s="88"/>
      <c r="B401" s="64" t="s">
        <v>1377</v>
      </c>
      <c r="C401" s="11" t="s">
        <v>9</v>
      </c>
      <c r="D401" s="91"/>
      <c r="E401" s="91"/>
      <c r="F401" s="91"/>
      <c r="G401" s="91"/>
      <c r="H401" s="91"/>
      <c r="I401" s="91"/>
    </row>
    <row r="402" spans="1:9" s="90" customFormat="1" ht="75" hidden="1" customHeight="1" x14ac:dyDescent="0.25">
      <c r="A402" s="11" t="s">
        <v>1547</v>
      </c>
      <c r="B402" s="20" t="s">
        <v>1548</v>
      </c>
      <c r="C402" s="11"/>
      <c r="D402" s="105"/>
      <c r="E402" s="105"/>
      <c r="F402" s="105"/>
      <c r="G402" s="105"/>
      <c r="H402" s="105"/>
      <c r="I402" s="105"/>
    </row>
    <row r="403" spans="1:9" s="90" customFormat="1" ht="15" hidden="1" customHeight="1" x14ac:dyDescent="0.25">
      <c r="A403" s="145"/>
      <c r="B403" s="20" t="s">
        <v>1549</v>
      </c>
      <c r="C403" s="11" t="s">
        <v>9</v>
      </c>
      <c r="D403" s="105" t="s">
        <v>1500</v>
      </c>
      <c r="E403" s="105" t="s">
        <v>1500</v>
      </c>
      <c r="F403" s="105" t="s">
        <v>1500</v>
      </c>
      <c r="G403" s="105"/>
      <c r="H403" s="105"/>
      <c r="I403" s="105"/>
    </row>
    <row r="404" spans="1:9" s="90" customFormat="1" ht="15" hidden="1" customHeight="1" x14ac:dyDescent="0.25">
      <c r="A404" s="145"/>
      <c r="B404" s="20" t="s">
        <v>1552</v>
      </c>
      <c r="C404" s="11" t="s">
        <v>9</v>
      </c>
      <c r="D404" s="105" t="s">
        <v>1500</v>
      </c>
      <c r="E404" s="105" t="s">
        <v>1500</v>
      </c>
      <c r="F404" s="105" t="s">
        <v>1500</v>
      </c>
      <c r="G404" s="105"/>
      <c r="H404" s="105"/>
      <c r="I404" s="105"/>
    </row>
    <row r="405" spans="1:9" s="90" customFormat="1" ht="60" hidden="1" customHeight="1" x14ac:dyDescent="0.25">
      <c r="A405" s="99" t="s">
        <v>546</v>
      </c>
      <c r="B405" s="100" t="s">
        <v>547</v>
      </c>
      <c r="C405" s="88"/>
      <c r="D405" s="91"/>
      <c r="E405" s="91"/>
      <c r="F405" s="91"/>
      <c r="G405" s="91"/>
      <c r="H405" s="91"/>
      <c r="I405" s="91"/>
    </row>
    <row r="406" spans="1:9" s="90" customFormat="1" ht="15" hidden="1" customHeight="1" x14ac:dyDescent="0.25">
      <c r="A406" s="11" t="s">
        <v>548</v>
      </c>
      <c r="B406" s="64" t="s">
        <v>1288</v>
      </c>
      <c r="C406" s="11"/>
      <c r="D406" s="91"/>
      <c r="E406" s="91"/>
      <c r="F406" s="91"/>
      <c r="G406" s="91"/>
      <c r="H406" s="91"/>
      <c r="I406" s="91"/>
    </row>
    <row r="407" spans="1:9" s="90" customFormat="1" ht="15" hidden="1" customHeight="1" x14ac:dyDescent="0.25">
      <c r="A407" s="11"/>
      <c r="B407" s="64" t="s">
        <v>1378</v>
      </c>
      <c r="C407" s="11"/>
      <c r="D407" s="91"/>
      <c r="E407" s="91"/>
      <c r="F407" s="91"/>
      <c r="G407" s="91"/>
      <c r="H407" s="91"/>
      <c r="I407" s="91"/>
    </row>
    <row r="408" spans="1:9" s="90" customFormat="1" ht="15" hidden="1" customHeight="1" x14ac:dyDescent="0.25">
      <c r="A408" s="11"/>
      <c r="B408" s="64" t="s">
        <v>1504</v>
      </c>
      <c r="C408" s="11" t="s">
        <v>9</v>
      </c>
      <c r="D408" s="91" t="s">
        <v>1500</v>
      </c>
      <c r="E408" s="91">
        <v>100</v>
      </c>
      <c r="F408" s="91" t="s">
        <v>1500</v>
      </c>
      <c r="G408" s="91"/>
      <c r="H408" s="91"/>
      <c r="I408" s="91"/>
    </row>
    <row r="409" spans="1:9" s="90" customFormat="1" ht="45" hidden="1" customHeight="1" x14ac:dyDescent="0.25">
      <c r="A409" s="88"/>
      <c r="B409" s="64" t="s">
        <v>1503</v>
      </c>
      <c r="C409" s="11" t="s">
        <v>9</v>
      </c>
      <c r="D409" s="91" t="s">
        <v>1500</v>
      </c>
      <c r="E409" s="91" t="s">
        <v>1500</v>
      </c>
      <c r="F409" s="91" t="s">
        <v>1500</v>
      </c>
      <c r="G409" s="91"/>
      <c r="H409" s="91"/>
      <c r="I409" s="91"/>
    </row>
    <row r="410" spans="1:9" s="90" customFormat="1" ht="15" hidden="1" customHeight="1" x14ac:dyDescent="0.25">
      <c r="A410" s="88"/>
      <c r="B410" s="64" t="s">
        <v>1379</v>
      </c>
      <c r="C410" s="88"/>
      <c r="D410" s="91"/>
      <c r="E410" s="91"/>
      <c r="F410" s="91"/>
      <c r="G410" s="91"/>
      <c r="H410" s="91"/>
      <c r="I410" s="91"/>
    </row>
    <row r="411" spans="1:9" s="90" customFormat="1" ht="15" hidden="1" customHeight="1" x14ac:dyDescent="0.25">
      <c r="A411" s="88"/>
      <c r="B411" s="64" t="s">
        <v>1502</v>
      </c>
      <c r="C411" s="11" t="s">
        <v>9</v>
      </c>
      <c r="D411" s="91" t="s">
        <v>1500</v>
      </c>
      <c r="E411" s="91">
        <v>117.14</v>
      </c>
      <c r="F411" s="91" t="s">
        <v>1500</v>
      </c>
      <c r="G411" s="91"/>
      <c r="H411" s="91"/>
      <c r="I411" s="91"/>
    </row>
    <row r="412" spans="1:9" s="90" customFormat="1" ht="15" hidden="1" customHeight="1" x14ac:dyDescent="0.25">
      <c r="A412" s="88"/>
      <c r="B412" s="64" t="s">
        <v>1501</v>
      </c>
      <c r="C412" s="11" t="s">
        <v>9</v>
      </c>
      <c r="D412" s="91" t="s">
        <v>1500</v>
      </c>
      <c r="E412" s="91">
        <v>100</v>
      </c>
      <c r="F412" s="91" t="s">
        <v>1500</v>
      </c>
      <c r="G412" s="91"/>
      <c r="H412" s="91"/>
      <c r="I412" s="91"/>
    </row>
    <row r="413" spans="1:9" s="90" customFormat="1" ht="45" hidden="1" customHeight="1" x14ac:dyDescent="0.25">
      <c r="A413" s="88"/>
      <c r="B413" s="64" t="s">
        <v>1505</v>
      </c>
      <c r="C413" s="11" t="s">
        <v>9</v>
      </c>
      <c r="D413" s="91" t="s">
        <v>1500</v>
      </c>
      <c r="E413" s="91">
        <v>100</v>
      </c>
      <c r="F413" s="91" t="s">
        <v>1500</v>
      </c>
      <c r="G413" s="91"/>
      <c r="H413" s="91"/>
      <c r="I413" s="91"/>
    </row>
    <row r="414" spans="1:9" s="90" customFormat="1" ht="45" hidden="1" customHeight="1" x14ac:dyDescent="0.25">
      <c r="A414" s="88"/>
      <c r="B414" s="64" t="s">
        <v>1506</v>
      </c>
      <c r="C414" s="11" t="s">
        <v>9</v>
      </c>
      <c r="D414" s="91" t="s">
        <v>1500</v>
      </c>
      <c r="E414" s="91" t="s">
        <v>1500</v>
      </c>
      <c r="F414" s="91" t="s">
        <v>1500</v>
      </c>
      <c r="G414" s="91"/>
      <c r="H414" s="91"/>
      <c r="I414" s="91"/>
    </row>
    <row r="415" spans="1:9" s="90" customFormat="1" ht="60" hidden="1" customHeight="1" x14ac:dyDescent="0.25">
      <c r="A415" s="99" t="s">
        <v>565</v>
      </c>
      <c r="B415" s="100" t="s">
        <v>566</v>
      </c>
      <c r="C415" s="88"/>
      <c r="D415" s="91"/>
      <c r="E415" s="91"/>
      <c r="F415" s="91"/>
      <c r="G415" s="91"/>
      <c r="H415" s="91"/>
      <c r="I415" s="91"/>
    </row>
    <row r="416" spans="1:9" s="90" customFormat="1" ht="75" hidden="1" customHeight="1" x14ac:dyDescent="0.25">
      <c r="A416" s="11" t="s">
        <v>568</v>
      </c>
      <c r="B416" s="64" t="s">
        <v>651</v>
      </c>
      <c r="C416" s="11"/>
      <c r="D416" s="91"/>
      <c r="E416" s="91"/>
      <c r="F416" s="91"/>
      <c r="G416" s="91"/>
      <c r="H416" s="91"/>
      <c r="I416" s="91"/>
    </row>
    <row r="417" spans="1:9" s="90" customFormat="1" ht="15" hidden="1" customHeight="1" x14ac:dyDescent="0.25">
      <c r="A417" s="88"/>
      <c r="B417" s="64" t="s">
        <v>1380</v>
      </c>
      <c r="C417" s="11"/>
      <c r="D417" s="91"/>
      <c r="E417" s="91"/>
      <c r="F417" s="91"/>
      <c r="G417" s="91"/>
      <c r="H417" s="91"/>
      <c r="I417" s="91"/>
    </row>
    <row r="418" spans="1:9" s="90" customFormat="1" ht="15" hidden="1" customHeight="1" x14ac:dyDescent="0.25">
      <c r="A418" s="88"/>
      <c r="B418" s="64" t="s">
        <v>1351</v>
      </c>
      <c r="C418" s="11" t="s">
        <v>9</v>
      </c>
      <c r="D418" s="105">
        <v>2.4500000000000002</v>
      </c>
      <c r="E418" s="105">
        <v>8.1110878237116921</v>
      </c>
      <c r="F418" s="105" t="s">
        <v>1500</v>
      </c>
      <c r="G418" s="105"/>
      <c r="H418" s="105"/>
      <c r="I418" s="105"/>
    </row>
    <row r="419" spans="1:9" s="90" customFormat="1" ht="15" hidden="1" customHeight="1" x14ac:dyDescent="0.25">
      <c r="A419" s="88"/>
      <c r="B419" s="64" t="s">
        <v>1352</v>
      </c>
      <c r="C419" s="11" t="s">
        <v>9</v>
      </c>
      <c r="D419" s="105">
        <v>0</v>
      </c>
      <c r="E419" s="105" t="s">
        <v>1500</v>
      </c>
      <c r="F419" s="105" t="s">
        <v>1500</v>
      </c>
      <c r="G419" s="105"/>
      <c r="H419" s="105"/>
      <c r="I419" s="105"/>
    </row>
    <row r="420" spans="1:9" s="90" customFormat="1" ht="15" hidden="1" customHeight="1" x14ac:dyDescent="0.25">
      <c r="A420" s="88"/>
      <c r="B420" s="64" t="s">
        <v>1381</v>
      </c>
      <c r="C420" s="11"/>
      <c r="D420" s="91"/>
      <c r="E420" s="91"/>
      <c r="F420" s="91"/>
      <c r="G420" s="91"/>
      <c r="H420" s="91"/>
      <c r="I420" s="91"/>
    </row>
    <row r="421" spans="1:9" s="90" customFormat="1" ht="15" hidden="1" customHeight="1" x14ac:dyDescent="0.25">
      <c r="A421" s="88"/>
      <c r="B421" s="64" t="s">
        <v>1351</v>
      </c>
      <c r="C421" s="11" t="s">
        <v>9</v>
      </c>
      <c r="D421" s="105">
        <v>0</v>
      </c>
      <c r="E421" s="105">
        <v>0</v>
      </c>
      <c r="F421" s="105" t="s">
        <v>1500</v>
      </c>
      <c r="G421" s="105"/>
      <c r="H421" s="105"/>
      <c r="I421" s="105"/>
    </row>
    <row r="422" spans="1:9" s="90" customFormat="1" ht="15" hidden="1" customHeight="1" x14ac:dyDescent="0.25">
      <c r="A422" s="88"/>
      <c r="B422" s="64" t="s">
        <v>1352</v>
      </c>
      <c r="C422" s="11" t="s">
        <v>9</v>
      </c>
      <c r="D422" s="105">
        <v>0</v>
      </c>
      <c r="E422" s="105">
        <v>100</v>
      </c>
      <c r="F422" s="105" t="s">
        <v>1500</v>
      </c>
      <c r="G422" s="105"/>
      <c r="H422" s="105"/>
      <c r="I422" s="105"/>
    </row>
    <row r="423" spans="1:9" s="90" customFormat="1" ht="75" hidden="1" customHeight="1" x14ac:dyDescent="0.25">
      <c r="A423" s="11" t="s">
        <v>583</v>
      </c>
      <c r="B423" s="20" t="s">
        <v>584</v>
      </c>
      <c r="C423" s="11"/>
      <c r="D423" s="91"/>
      <c r="E423" s="91"/>
      <c r="F423" s="91"/>
      <c r="G423" s="91"/>
      <c r="H423" s="91"/>
      <c r="I423" s="91"/>
    </row>
    <row r="424" spans="1:9" s="90" customFormat="1" ht="15" hidden="1" customHeight="1" x14ac:dyDescent="0.25">
      <c r="A424" s="11"/>
      <c r="B424" s="64" t="s">
        <v>1380</v>
      </c>
      <c r="C424" s="11"/>
      <c r="D424" s="91"/>
      <c r="E424" s="91"/>
      <c r="F424" s="91"/>
      <c r="G424" s="91"/>
      <c r="H424" s="91"/>
      <c r="I424" s="91"/>
    </row>
    <row r="425" spans="1:9" s="90" customFormat="1" ht="15" hidden="1" customHeight="1" x14ac:dyDescent="0.25">
      <c r="A425" s="11"/>
      <c r="B425" s="64" t="s">
        <v>1351</v>
      </c>
      <c r="C425" s="11" t="s">
        <v>9</v>
      </c>
      <c r="D425" s="105">
        <v>13</v>
      </c>
      <c r="E425" s="105">
        <v>6.7848083931005734</v>
      </c>
      <c r="F425" s="105" t="s">
        <v>1500</v>
      </c>
      <c r="G425" s="105"/>
      <c r="H425" s="105"/>
      <c r="I425" s="105"/>
    </row>
    <row r="426" spans="1:9" s="90" customFormat="1" ht="15" hidden="1" customHeight="1" x14ac:dyDescent="0.25">
      <c r="A426" s="11"/>
      <c r="B426" s="64" t="s">
        <v>1352</v>
      </c>
      <c r="C426" s="11" t="s">
        <v>9</v>
      </c>
      <c r="D426" s="105">
        <v>100</v>
      </c>
      <c r="E426" s="105">
        <v>100</v>
      </c>
      <c r="F426" s="105" t="s">
        <v>1500</v>
      </c>
      <c r="G426" s="105"/>
      <c r="H426" s="105"/>
      <c r="I426" s="105"/>
    </row>
    <row r="427" spans="1:9" s="90" customFormat="1" ht="15" hidden="1" customHeight="1" x14ac:dyDescent="0.25">
      <c r="A427" s="88"/>
      <c r="B427" s="64" t="s">
        <v>1382</v>
      </c>
      <c r="C427" s="11"/>
      <c r="D427" s="91"/>
      <c r="E427" s="91"/>
      <c r="F427" s="91"/>
      <c r="G427" s="91"/>
      <c r="H427" s="91"/>
      <c r="I427" s="91"/>
    </row>
    <row r="428" spans="1:9" s="90" customFormat="1" ht="15" hidden="1" customHeight="1" x14ac:dyDescent="0.25">
      <c r="A428" s="88"/>
      <c r="B428" s="64" t="s">
        <v>1351</v>
      </c>
      <c r="C428" s="11" t="s">
        <v>9</v>
      </c>
      <c r="D428" s="105">
        <v>0</v>
      </c>
      <c r="E428" s="105">
        <v>0</v>
      </c>
      <c r="F428" s="105">
        <v>0</v>
      </c>
      <c r="G428" s="105"/>
      <c r="H428" s="105"/>
      <c r="I428" s="105"/>
    </row>
    <row r="429" spans="1:9" s="90" customFormat="1" ht="15" hidden="1" customHeight="1" x14ac:dyDescent="0.25">
      <c r="A429" s="88"/>
      <c r="B429" s="64" t="s">
        <v>1352</v>
      </c>
      <c r="C429" s="11" t="s">
        <v>9</v>
      </c>
      <c r="D429" s="105">
        <v>0</v>
      </c>
      <c r="E429" s="105">
        <v>0</v>
      </c>
      <c r="F429" s="105">
        <v>0</v>
      </c>
      <c r="G429" s="105"/>
      <c r="H429" s="105"/>
      <c r="I429" s="105"/>
    </row>
    <row r="430" spans="1:9" s="90" customFormat="1" ht="30" hidden="1" customHeight="1" x14ac:dyDescent="0.25">
      <c r="A430" s="11" t="s">
        <v>594</v>
      </c>
      <c r="B430" s="64" t="s">
        <v>1291</v>
      </c>
      <c r="C430" s="88"/>
      <c r="D430" s="91"/>
      <c r="E430" s="91"/>
      <c r="F430" s="91"/>
      <c r="G430" s="91"/>
      <c r="H430" s="91"/>
      <c r="I430" s="91"/>
    </row>
    <row r="431" spans="1:9" s="90" customFormat="1" ht="60" hidden="1" customHeight="1" x14ac:dyDescent="0.25">
      <c r="A431" s="88"/>
      <c r="B431" s="64" t="s">
        <v>1383</v>
      </c>
      <c r="C431" s="11" t="s">
        <v>1270</v>
      </c>
      <c r="D431" s="105">
        <v>188.48</v>
      </c>
      <c r="E431" s="105">
        <v>0</v>
      </c>
      <c r="F431" s="105" t="s">
        <v>1500</v>
      </c>
      <c r="G431" s="105"/>
      <c r="H431" s="105"/>
      <c r="I431" s="105"/>
    </row>
    <row r="432" spans="1:9" s="90" customFormat="1" ht="45" hidden="1" customHeight="1" x14ac:dyDescent="0.25">
      <c r="A432" s="88"/>
      <c r="B432" s="64" t="s">
        <v>1384</v>
      </c>
      <c r="C432" s="11"/>
      <c r="D432" s="91"/>
      <c r="E432" s="91"/>
      <c r="F432" s="91"/>
      <c r="G432" s="91"/>
      <c r="H432" s="91"/>
      <c r="I432" s="91"/>
    </row>
    <row r="433" spans="1:9" s="90" customFormat="1" ht="15" hidden="1" customHeight="1" x14ac:dyDescent="0.25">
      <c r="A433" s="88"/>
      <c r="B433" s="64" t="s">
        <v>1351</v>
      </c>
      <c r="C433" s="11" t="s">
        <v>1270</v>
      </c>
      <c r="D433" s="105">
        <v>387.3</v>
      </c>
      <c r="E433" s="105">
        <v>428.31</v>
      </c>
      <c r="F433" s="105">
        <v>428.31</v>
      </c>
      <c r="G433" s="105"/>
      <c r="H433" s="105"/>
      <c r="I433" s="105"/>
    </row>
    <row r="434" spans="1:9" s="90" customFormat="1" ht="15" hidden="1" customHeight="1" x14ac:dyDescent="0.25">
      <c r="A434" s="88"/>
      <c r="B434" s="64" t="s">
        <v>1352</v>
      </c>
      <c r="C434" s="11" t="s">
        <v>1270</v>
      </c>
      <c r="D434" s="105">
        <v>29.2</v>
      </c>
      <c r="E434" s="105">
        <v>37.46</v>
      </c>
      <c r="F434" s="105">
        <v>37.46</v>
      </c>
      <c r="G434" s="105"/>
      <c r="H434" s="105"/>
      <c r="I434" s="105"/>
    </row>
    <row r="435" spans="1:9" s="90" customFormat="1" ht="60" hidden="1" customHeight="1" x14ac:dyDescent="0.25">
      <c r="A435" s="99" t="s">
        <v>631</v>
      </c>
      <c r="B435" s="100" t="s">
        <v>604</v>
      </c>
      <c r="C435" s="88"/>
      <c r="D435" s="91"/>
      <c r="E435" s="91"/>
      <c r="F435" s="91"/>
      <c r="G435" s="91"/>
      <c r="H435" s="91"/>
      <c r="I435" s="91"/>
    </row>
    <row r="436" spans="1:9" s="90" customFormat="1" ht="90" hidden="1" customHeight="1" x14ac:dyDescent="0.25">
      <c r="A436" s="11" t="s">
        <v>632</v>
      </c>
      <c r="B436" s="64" t="s">
        <v>605</v>
      </c>
      <c r="C436" s="11"/>
      <c r="D436" s="91"/>
      <c r="E436" s="91"/>
      <c r="F436" s="91"/>
      <c r="G436" s="91"/>
      <c r="H436" s="91"/>
      <c r="I436" s="91"/>
    </row>
    <row r="437" spans="1:9" s="90" customFormat="1" ht="15" hidden="1" customHeight="1" x14ac:dyDescent="0.25">
      <c r="A437" s="11"/>
      <c r="B437" s="64" t="s">
        <v>1351</v>
      </c>
      <c r="C437" s="11" t="s">
        <v>9</v>
      </c>
      <c r="D437" s="105">
        <v>0</v>
      </c>
      <c r="E437" s="105">
        <v>12.5</v>
      </c>
      <c r="F437" s="105" t="s">
        <v>1500</v>
      </c>
      <c r="G437" s="105"/>
      <c r="H437" s="105"/>
      <c r="I437" s="105"/>
    </row>
    <row r="438" spans="1:9" s="90" customFormat="1" ht="15" hidden="1" customHeight="1" x14ac:dyDescent="0.25">
      <c r="A438" s="11"/>
      <c r="B438" s="64" t="s">
        <v>1352</v>
      </c>
      <c r="C438" s="11" t="s">
        <v>9</v>
      </c>
      <c r="D438" s="105">
        <v>0</v>
      </c>
      <c r="E438" s="105" t="s">
        <v>1500</v>
      </c>
      <c r="F438" s="105" t="s">
        <v>1500</v>
      </c>
      <c r="G438" s="105"/>
      <c r="H438" s="105"/>
      <c r="I438" s="105"/>
    </row>
    <row r="439" spans="1:9" s="90" customFormat="1" ht="105" hidden="1" customHeight="1" x14ac:dyDescent="0.25">
      <c r="A439" s="11" t="s">
        <v>1555</v>
      </c>
      <c r="B439" s="20" t="s">
        <v>1556</v>
      </c>
      <c r="C439" s="11" t="s">
        <v>9</v>
      </c>
      <c r="D439" s="105" t="s">
        <v>1500</v>
      </c>
      <c r="E439" s="105" t="s">
        <v>1500</v>
      </c>
      <c r="F439" s="105" t="s">
        <v>1500</v>
      </c>
      <c r="G439" s="105"/>
      <c r="H439" s="105"/>
      <c r="I439" s="105"/>
    </row>
    <row r="440" spans="1:9" s="90" customFormat="1" ht="60" hidden="1" customHeight="1" x14ac:dyDescent="0.25">
      <c r="A440" s="99" t="s">
        <v>610</v>
      </c>
      <c r="B440" s="100" t="s">
        <v>611</v>
      </c>
      <c r="C440" s="88"/>
      <c r="D440" s="91"/>
      <c r="E440" s="91"/>
      <c r="F440" s="91"/>
      <c r="G440" s="91"/>
      <c r="H440" s="91"/>
      <c r="I440" s="91"/>
    </row>
    <row r="441" spans="1:9" s="90" customFormat="1" ht="75" hidden="1" customHeight="1" x14ac:dyDescent="0.25">
      <c r="A441" s="11" t="s">
        <v>613</v>
      </c>
      <c r="B441" s="64" t="s">
        <v>612</v>
      </c>
      <c r="C441" s="11"/>
      <c r="D441" s="91"/>
      <c r="E441" s="91"/>
      <c r="F441" s="91"/>
      <c r="G441" s="91"/>
      <c r="H441" s="91"/>
      <c r="I441" s="91"/>
    </row>
    <row r="442" spans="1:9" s="90" customFormat="1" ht="15" hidden="1" customHeight="1" x14ac:dyDescent="0.25">
      <c r="A442" s="11"/>
      <c r="B442" s="64" t="s">
        <v>1385</v>
      </c>
      <c r="C442" s="11"/>
      <c r="D442" s="91"/>
      <c r="E442" s="91"/>
      <c r="F442" s="91"/>
      <c r="G442" s="91"/>
      <c r="H442" s="91"/>
      <c r="I442" s="91"/>
    </row>
    <row r="443" spans="1:9" s="90" customFormat="1" ht="15" hidden="1" customHeight="1" x14ac:dyDescent="0.25">
      <c r="A443" s="11"/>
      <c r="B443" s="64" t="s">
        <v>1351</v>
      </c>
      <c r="C443" s="11" t="s">
        <v>9</v>
      </c>
      <c r="D443" s="105">
        <v>76.989999999999995</v>
      </c>
      <c r="E443" s="105">
        <v>72.454078876283091</v>
      </c>
      <c r="F443" s="105" t="s">
        <v>1500</v>
      </c>
      <c r="G443" s="105"/>
      <c r="H443" s="105"/>
      <c r="I443" s="105"/>
    </row>
    <row r="444" spans="1:9" s="90" customFormat="1" ht="15" hidden="1" customHeight="1" x14ac:dyDescent="0.25">
      <c r="A444" s="11"/>
      <c r="B444" s="64" t="s">
        <v>1352</v>
      </c>
      <c r="C444" s="11" t="s">
        <v>9</v>
      </c>
      <c r="D444" s="105">
        <v>100</v>
      </c>
      <c r="E444" s="105">
        <v>100</v>
      </c>
      <c r="F444" s="105" t="s">
        <v>1500</v>
      </c>
      <c r="G444" s="105"/>
      <c r="H444" s="105"/>
      <c r="I444" s="105"/>
    </row>
    <row r="445" spans="1:9" s="90" customFormat="1" ht="15" hidden="1" customHeight="1" x14ac:dyDescent="0.25">
      <c r="A445" s="11"/>
      <c r="B445" s="64" t="s">
        <v>1386</v>
      </c>
      <c r="C445" s="11"/>
      <c r="D445" s="91"/>
      <c r="E445" s="91"/>
      <c r="F445" s="91"/>
      <c r="G445" s="91"/>
      <c r="H445" s="91"/>
      <c r="I445" s="91"/>
    </row>
    <row r="446" spans="1:9" s="90" customFormat="1" ht="15" hidden="1" customHeight="1" x14ac:dyDescent="0.25">
      <c r="A446" s="11"/>
      <c r="B446" s="64" t="s">
        <v>1351</v>
      </c>
      <c r="C446" s="11" t="s">
        <v>9</v>
      </c>
      <c r="D446" s="93">
        <v>87.98</v>
      </c>
      <c r="E446" s="93">
        <v>72.408239382893953</v>
      </c>
      <c r="F446" s="93" t="s">
        <v>1500</v>
      </c>
      <c r="G446" s="93"/>
      <c r="H446" s="93"/>
      <c r="I446" s="93"/>
    </row>
    <row r="447" spans="1:9" s="90" customFormat="1" ht="15" hidden="1" customHeight="1" x14ac:dyDescent="0.25">
      <c r="A447" s="11"/>
      <c r="B447" s="64" t="s">
        <v>1352</v>
      </c>
      <c r="C447" s="11" t="s">
        <v>9</v>
      </c>
      <c r="D447" s="93">
        <v>0</v>
      </c>
      <c r="E447" s="93">
        <v>0</v>
      </c>
      <c r="F447" s="93" t="s">
        <v>1500</v>
      </c>
      <c r="G447" s="93"/>
      <c r="H447" s="93"/>
      <c r="I447" s="93"/>
    </row>
    <row r="448" spans="1:9" s="90" customFormat="1" ht="75" hidden="1" customHeight="1" x14ac:dyDescent="0.25">
      <c r="A448" s="11" t="s">
        <v>626</v>
      </c>
      <c r="B448" s="64" t="s">
        <v>625</v>
      </c>
      <c r="C448" s="11" t="s">
        <v>9</v>
      </c>
      <c r="D448" s="93">
        <v>0</v>
      </c>
      <c r="E448" s="93">
        <v>0</v>
      </c>
      <c r="F448" s="93">
        <v>0</v>
      </c>
      <c r="G448" s="93"/>
      <c r="H448" s="93"/>
      <c r="I448" s="93"/>
    </row>
    <row r="449" spans="1:9" s="90" customFormat="1" ht="75" hidden="1" customHeight="1" x14ac:dyDescent="0.25">
      <c r="A449" s="11" t="s">
        <v>634</v>
      </c>
      <c r="B449" s="64" t="s">
        <v>633</v>
      </c>
      <c r="C449" s="11" t="s">
        <v>9</v>
      </c>
      <c r="D449" s="93">
        <v>0</v>
      </c>
      <c r="E449" s="93">
        <v>0</v>
      </c>
      <c r="F449" s="93">
        <v>0</v>
      </c>
      <c r="G449" s="93"/>
      <c r="H449" s="93"/>
      <c r="I449" s="93"/>
    </row>
    <row r="450" spans="1:9" s="90" customFormat="1" ht="75" hidden="1" customHeight="1" x14ac:dyDescent="0.25">
      <c r="A450" s="11" t="s">
        <v>638</v>
      </c>
      <c r="B450" s="64" t="s">
        <v>639</v>
      </c>
      <c r="C450" s="11"/>
      <c r="D450" s="93"/>
      <c r="E450" s="93"/>
      <c r="F450" s="93"/>
      <c r="G450" s="93"/>
      <c r="H450" s="93"/>
      <c r="I450" s="93"/>
    </row>
    <row r="451" spans="1:9" s="90" customFormat="1" ht="15" hidden="1" customHeight="1" x14ac:dyDescent="0.25">
      <c r="A451" s="11"/>
      <c r="B451" s="64" t="s">
        <v>1351</v>
      </c>
      <c r="C451" s="11" t="s">
        <v>9</v>
      </c>
      <c r="D451" s="93">
        <v>0.23</v>
      </c>
      <c r="E451" s="93">
        <v>1.3843868179362506</v>
      </c>
      <c r="F451" s="93" t="s">
        <v>1500</v>
      </c>
      <c r="G451" s="93"/>
      <c r="H451" s="93"/>
      <c r="I451" s="93"/>
    </row>
    <row r="452" spans="1:9" s="90" customFormat="1" ht="15" hidden="1" customHeight="1" x14ac:dyDescent="0.25">
      <c r="A452" s="11"/>
      <c r="B452" s="64" t="s">
        <v>1352</v>
      </c>
      <c r="C452" s="11" t="s">
        <v>9</v>
      </c>
      <c r="D452" s="93">
        <v>0</v>
      </c>
      <c r="E452" s="93">
        <v>0</v>
      </c>
      <c r="F452" s="93" t="s">
        <v>1500</v>
      </c>
      <c r="G452" s="93"/>
      <c r="H452" s="93"/>
      <c r="I452" s="93"/>
    </row>
    <row r="453" spans="1:9" s="90" customFormat="1" ht="75" hidden="1" customHeight="1" x14ac:dyDescent="0.25">
      <c r="A453" s="11" t="s">
        <v>873</v>
      </c>
      <c r="B453" s="64" t="s">
        <v>642</v>
      </c>
      <c r="C453" s="11"/>
      <c r="D453" s="91"/>
      <c r="E453" s="91"/>
      <c r="F453" s="91"/>
      <c r="G453" s="91"/>
      <c r="H453" s="91"/>
      <c r="I453" s="91"/>
    </row>
    <row r="454" spans="1:9" s="90" customFormat="1" ht="15" hidden="1" customHeight="1" x14ac:dyDescent="0.25">
      <c r="A454" s="11"/>
      <c r="B454" s="64" t="s">
        <v>1351</v>
      </c>
      <c r="C454" s="11" t="s">
        <v>9</v>
      </c>
      <c r="D454" s="93">
        <v>1.96</v>
      </c>
      <c r="E454" s="93">
        <v>11.489020243429625</v>
      </c>
      <c r="F454" s="93" t="s">
        <v>1500</v>
      </c>
      <c r="G454" s="93"/>
      <c r="H454" s="93"/>
      <c r="I454" s="93"/>
    </row>
    <row r="455" spans="1:9" s="90" customFormat="1" ht="15" hidden="1" customHeight="1" x14ac:dyDescent="0.25">
      <c r="A455" s="11"/>
      <c r="B455" s="64" t="s">
        <v>1352</v>
      </c>
      <c r="C455" s="11" t="s">
        <v>9</v>
      </c>
      <c r="D455" s="93">
        <v>0</v>
      </c>
      <c r="E455" s="93">
        <v>0</v>
      </c>
      <c r="F455" s="93" t="s">
        <v>1500</v>
      </c>
      <c r="G455" s="93"/>
      <c r="H455" s="93"/>
      <c r="I455" s="93"/>
    </row>
    <row r="456" spans="1:9" s="90" customFormat="1" ht="75" hidden="1" customHeight="1" x14ac:dyDescent="0.25">
      <c r="A456" s="11" t="s">
        <v>874</v>
      </c>
      <c r="B456" s="64" t="s">
        <v>645</v>
      </c>
      <c r="C456" s="11"/>
      <c r="D456" s="91"/>
      <c r="E456" s="91"/>
      <c r="F456" s="91"/>
      <c r="G456" s="91"/>
      <c r="H456" s="91"/>
      <c r="I456" s="91"/>
    </row>
    <row r="457" spans="1:9" s="90" customFormat="1" ht="15" hidden="1" customHeight="1" x14ac:dyDescent="0.25">
      <c r="A457" s="142"/>
      <c r="B457" s="64" t="s">
        <v>1351</v>
      </c>
      <c r="C457" s="11" t="s">
        <v>9</v>
      </c>
      <c r="D457" s="93">
        <v>0</v>
      </c>
      <c r="E457" s="93">
        <v>0</v>
      </c>
      <c r="F457" s="93" t="s">
        <v>1500</v>
      </c>
      <c r="G457" s="93"/>
      <c r="H457" s="93"/>
      <c r="I457" s="93"/>
    </row>
    <row r="458" spans="1:9" s="90" customFormat="1" ht="15" hidden="1" customHeight="1" x14ac:dyDescent="0.25">
      <c r="A458" s="142"/>
      <c r="B458" s="64" t="s">
        <v>1352</v>
      </c>
      <c r="C458" s="11" t="s">
        <v>9</v>
      </c>
      <c r="D458" s="93">
        <v>0</v>
      </c>
      <c r="E458" s="93">
        <v>0</v>
      </c>
      <c r="F458" s="93" t="s">
        <v>1500</v>
      </c>
      <c r="G458" s="93"/>
      <c r="H458" s="93"/>
      <c r="I458" s="93"/>
    </row>
    <row r="459" spans="1:9" s="90" customFormat="1" ht="75" hidden="1" customHeight="1" x14ac:dyDescent="0.25">
      <c r="A459" s="142" t="s">
        <v>875</v>
      </c>
      <c r="B459" s="64" t="s">
        <v>648</v>
      </c>
      <c r="C459" s="142"/>
      <c r="D459" s="135"/>
      <c r="E459" s="135"/>
      <c r="F459" s="135"/>
      <c r="G459" s="135"/>
      <c r="H459" s="135"/>
      <c r="I459" s="135"/>
    </row>
    <row r="460" spans="1:9" s="90" customFormat="1" ht="15" hidden="1" customHeight="1" x14ac:dyDescent="0.25">
      <c r="A460" s="142"/>
      <c r="B460" s="64" t="s">
        <v>1351</v>
      </c>
      <c r="C460" s="142" t="s">
        <v>9</v>
      </c>
      <c r="D460" s="93">
        <v>0</v>
      </c>
      <c r="E460" s="93">
        <v>1.1782656607612105</v>
      </c>
      <c r="F460" s="93" t="s">
        <v>1500</v>
      </c>
      <c r="G460" s="93"/>
      <c r="H460" s="93"/>
      <c r="I460" s="93"/>
    </row>
    <row r="461" spans="1:9" s="90" customFormat="1" ht="15" hidden="1" customHeight="1" x14ac:dyDescent="0.25">
      <c r="A461" s="142"/>
      <c r="B461" s="64" t="s">
        <v>1352</v>
      </c>
      <c r="C461" s="142" t="s">
        <v>9</v>
      </c>
      <c r="D461" s="93">
        <v>0</v>
      </c>
      <c r="E461" s="93">
        <v>0</v>
      </c>
      <c r="F461" s="93" t="s">
        <v>1500</v>
      </c>
      <c r="G461" s="93"/>
      <c r="H461" s="93"/>
      <c r="I461" s="93"/>
    </row>
    <row r="462" spans="1:9" ht="15" hidden="1" customHeight="1" x14ac:dyDescent="0.25">
      <c r="A462" s="137" t="s">
        <v>654</v>
      </c>
      <c r="B462" s="137"/>
      <c r="C462" s="137"/>
      <c r="D462" s="137"/>
      <c r="E462" s="137"/>
      <c r="F462" s="137"/>
      <c r="G462" s="385"/>
      <c r="H462" s="385"/>
      <c r="I462" s="385"/>
    </row>
    <row r="463" spans="1:9" ht="30" hidden="1" customHeight="1" x14ac:dyDescent="0.25">
      <c r="A463" s="29" t="s">
        <v>656</v>
      </c>
      <c r="B463" s="32" t="s">
        <v>655</v>
      </c>
      <c r="C463" s="30"/>
      <c r="D463" s="8"/>
      <c r="E463" s="8"/>
      <c r="F463" s="8"/>
      <c r="G463" s="8"/>
      <c r="H463" s="8"/>
      <c r="I463" s="8"/>
    </row>
    <row r="464" spans="1:9" ht="75" hidden="1" customHeight="1" x14ac:dyDescent="0.25">
      <c r="A464" s="6" t="s">
        <v>661</v>
      </c>
      <c r="B464" s="33" t="s">
        <v>657</v>
      </c>
      <c r="C464" s="6" t="s">
        <v>9</v>
      </c>
      <c r="D464" s="62">
        <v>3.56</v>
      </c>
      <c r="E464" s="62">
        <v>8.26</v>
      </c>
      <c r="F464" s="62">
        <v>0</v>
      </c>
      <c r="G464" s="62"/>
      <c r="H464" s="62"/>
      <c r="I464" s="62"/>
    </row>
    <row r="465" spans="1:9" ht="90" hidden="1" customHeight="1" x14ac:dyDescent="0.25">
      <c r="A465" s="6" t="s">
        <v>666</v>
      </c>
      <c r="B465" s="33" t="s">
        <v>1388</v>
      </c>
      <c r="C465" s="6" t="s">
        <v>9</v>
      </c>
      <c r="D465" s="62" t="s">
        <v>1500</v>
      </c>
      <c r="E465" s="62" t="s">
        <v>1500</v>
      </c>
      <c r="F465" s="62" t="s">
        <v>1500</v>
      </c>
      <c r="G465" s="62"/>
      <c r="H465" s="62"/>
      <c r="I465" s="62"/>
    </row>
    <row r="466" spans="1:9" ht="30" hidden="1" customHeight="1" x14ac:dyDescent="0.25">
      <c r="A466" s="9" t="s">
        <v>668</v>
      </c>
      <c r="B466" s="32" t="s">
        <v>667</v>
      </c>
      <c r="C466" s="6"/>
      <c r="D466" s="8"/>
      <c r="E466" s="8"/>
      <c r="F466" s="8"/>
      <c r="G466" s="8"/>
      <c r="H466" s="8"/>
      <c r="I466" s="8"/>
    </row>
    <row r="467" spans="1:9" ht="105" hidden="1" customHeight="1" x14ac:dyDescent="0.25">
      <c r="A467" s="6" t="s">
        <v>669</v>
      </c>
      <c r="B467" s="33" t="s">
        <v>670</v>
      </c>
      <c r="C467" s="6"/>
      <c r="D467" s="8"/>
      <c r="E467" s="8"/>
      <c r="F467" s="8"/>
      <c r="G467" s="8"/>
      <c r="H467" s="8"/>
      <c r="I467" s="8"/>
    </row>
    <row r="468" spans="1:9" ht="15" hidden="1" customHeight="1" x14ac:dyDescent="0.25">
      <c r="A468" s="6"/>
      <c r="B468" s="33" t="s">
        <v>671</v>
      </c>
      <c r="C468" s="6"/>
      <c r="D468" s="8"/>
      <c r="E468" s="8"/>
      <c r="F468" s="8"/>
      <c r="G468" s="8"/>
      <c r="H468" s="8"/>
      <c r="I468" s="8"/>
    </row>
    <row r="469" spans="1:9" ht="15" hidden="1" customHeight="1" x14ac:dyDescent="0.25">
      <c r="A469" s="6"/>
      <c r="B469" s="33" t="s">
        <v>1351</v>
      </c>
      <c r="C469" s="6" t="s">
        <v>9</v>
      </c>
      <c r="D469" s="62">
        <v>72.25</v>
      </c>
      <c r="E469" s="62">
        <v>72.739999999999995</v>
      </c>
      <c r="F469" s="62" t="s">
        <v>1500</v>
      </c>
      <c r="G469" s="62"/>
      <c r="H469" s="62"/>
      <c r="I469" s="62"/>
    </row>
    <row r="470" spans="1:9" ht="15" hidden="1" customHeight="1" x14ac:dyDescent="0.25">
      <c r="A470" s="6"/>
      <c r="B470" s="33" t="s">
        <v>1352</v>
      </c>
      <c r="C470" s="6" t="s">
        <v>9</v>
      </c>
      <c r="D470" s="62">
        <v>3.09</v>
      </c>
      <c r="E470" s="62">
        <v>2.1712907117008444</v>
      </c>
      <c r="F470" s="62" t="s">
        <v>1500</v>
      </c>
      <c r="G470" s="62"/>
      <c r="H470" s="62"/>
      <c r="I470" s="62"/>
    </row>
    <row r="471" spans="1:9" ht="15" hidden="1" customHeight="1" x14ac:dyDescent="0.25">
      <c r="A471" s="6"/>
      <c r="B471" s="33" t="s">
        <v>652</v>
      </c>
      <c r="C471" s="6"/>
      <c r="D471" s="8"/>
      <c r="E471" s="8"/>
      <c r="F471" s="8"/>
      <c r="G471" s="8"/>
      <c r="H471" s="8"/>
      <c r="I471" s="8"/>
    </row>
    <row r="472" spans="1:9" ht="15" hidden="1" customHeight="1" x14ac:dyDescent="0.25">
      <c r="A472" s="6"/>
      <c r="B472" s="33" t="s">
        <v>1351</v>
      </c>
      <c r="C472" s="6" t="s">
        <v>9</v>
      </c>
      <c r="D472" s="62">
        <v>0.13</v>
      </c>
      <c r="E472" s="62">
        <v>0.05</v>
      </c>
      <c r="F472" s="62" t="s">
        <v>1500</v>
      </c>
      <c r="G472" s="62"/>
      <c r="H472" s="62"/>
      <c r="I472" s="62"/>
    </row>
    <row r="473" spans="1:9" ht="15" hidden="1" customHeight="1" x14ac:dyDescent="0.25">
      <c r="A473" s="6"/>
      <c r="B473" s="33" t="s">
        <v>1352</v>
      </c>
      <c r="C473" s="6" t="s">
        <v>9</v>
      </c>
      <c r="D473" s="62">
        <v>0.61</v>
      </c>
      <c r="E473" s="62">
        <v>0.57297949336550058</v>
      </c>
      <c r="F473" s="62" t="s">
        <v>1500</v>
      </c>
      <c r="G473" s="62"/>
      <c r="H473" s="62"/>
      <c r="I473" s="62"/>
    </row>
    <row r="474" spans="1:9" ht="15" hidden="1" customHeight="1" x14ac:dyDescent="0.25">
      <c r="A474" s="6"/>
      <c r="B474" s="33" t="s">
        <v>672</v>
      </c>
      <c r="C474" s="6"/>
      <c r="D474" s="62"/>
      <c r="E474" s="62"/>
      <c r="F474" s="62"/>
      <c r="G474" s="62"/>
      <c r="H474" s="62"/>
      <c r="I474" s="62"/>
    </row>
    <row r="475" spans="1:9" ht="15" hidden="1" customHeight="1" x14ac:dyDescent="0.25">
      <c r="A475" s="6"/>
      <c r="B475" s="33" t="s">
        <v>1351</v>
      </c>
      <c r="C475" s="6" t="s">
        <v>9</v>
      </c>
      <c r="D475" s="62">
        <v>27.61</v>
      </c>
      <c r="E475" s="62">
        <v>27.21</v>
      </c>
      <c r="F475" s="62" t="s">
        <v>1500</v>
      </c>
      <c r="G475" s="62"/>
      <c r="H475" s="62"/>
      <c r="I475" s="62"/>
    </row>
    <row r="476" spans="1:9" ht="15" hidden="1" customHeight="1" x14ac:dyDescent="0.25">
      <c r="A476" s="6"/>
      <c r="B476" s="33" t="s">
        <v>1352</v>
      </c>
      <c r="C476" s="6" t="s">
        <v>9</v>
      </c>
      <c r="D476" s="62">
        <v>96.3</v>
      </c>
      <c r="E476" s="62">
        <v>97.255729794933657</v>
      </c>
      <c r="F476" s="62" t="s">
        <v>1500</v>
      </c>
      <c r="G476" s="62"/>
      <c r="H476" s="62"/>
      <c r="I476" s="62"/>
    </row>
    <row r="477" spans="1:9" ht="60" hidden="1" customHeight="1" x14ac:dyDescent="0.25">
      <c r="A477" s="6" t="s">
        <v>680</v>
      </c>
      <c r="B477" s="33" t="s">
        <v>679</v>
      </c>
      <c r="C477" s="6"/>
      <c r="D477" s="8"/>
      <c r="E477" s="8"/>
      <c r="F477" s="8"/>
      <c r="G477" s="8"/>
      <c r="H477" s="8"/>
      <c r="I477" s="8"/>
    </row>
    <row r="478" spans="1:9" ht="15" hidden="1" customHeight="1" x14ac:dyDescent="0.25">
      <c r="A478" s="6"/>
      <c r="B478" s="33" t="s">
        <v>1351</v>
      </c>
      <c r="C478" s="6" t="s">
        <v>9</v>
      </c>
      <c r="D478" s="62">
        <v>41.94</v>
      </c>
      <c r="E478" s="62">
        <v>44.44</v>
      </c>
      <c r="F478" s="62">
        <v>0</v>
      </c>
      <c r="G478" s="62"/>
      <c r="H478" s="62"/>
      <c r="I478" s="62"/>
    </row>
    <row r="479" spans="1:9" ht="15" hidden="1" customHeight="1" x14ac:dyDescent="0.25">
      <c r="A479" s="6"/>
      <c r="B479" s="33" t="s">
        <v>1352</v>
      </c>
      <c r="C479" s="6" t="s">
        <v>9</v>
      </c>
      <c r="D479" s="62">
        <v>100</v>
      </c>
      <c r="E479" s="62">
        <v>100</v>
      </c>
      <c r="F479" s="62">
        <v>0</v>
      </c>
      <c r="G479" s="62"/>
      <c r="H479" s="62"/>
      <c r="I479" s="62"/>
    </row>
    <row r="480" spans="1:9" ht="75" hidden="1" customHeight="1" x14ac:dyDescent="0.25">
      <c r="A480" s="6" t="s">
        <v>684</v>
      </c>
      <c r="B480" s="33" t="s">
        <v>685</v>
      </c>
      <c r="C480" s="6"/>
      <c r="D480" s="8"/>
      <c r="E480" s="8"/>
      <c r="F480" s="8"/>
      <c r="G480" s="8"/>
      <c r="H480" s="8"/>
      <c r="I480" s="8"/>
    </row>
    <row r="481" spans="1:9" ht="15" hidden="1" customHeight="1" x14ac:dyDescent="0.25">
      <c r="A481" s="7"/>
      <c r="B481" s="33" t="s">
        <v>1389</v>
      </c>
      <c r="C481" s="6"/>
      <c r="D481" s="8"/>
      <c r="E481" s="8"/>
      <c r="F481" s="8"/>
      <c r="G481" s="8"/>
      <c r="H481" s="8"/>
      <c r="I481" s="8"/>
    </row>
    <row r="482" spans="1:9" ht="15" hidden="1" customHeight="1" x14ac:dyDescent="0.25">
      <c r="A482" s="7"/>
      <c r="B482" s="33" t="s">
        <v>1351</v>
      </c>
      <c r="C482" s="6" t="s">
        <v>9</v>
      </c>
      <c r="D482" s="62">
        <v>0</v>
      </c>
      <c r="E482" s="62">
        <v>0</v>
      </c>
      <c r="F482" s="62">
        <v>0</v>
      </c>
      <c r="G482" s="62"/>
      <c r="H482" s="62"/>
      <c r="I482" s="62"/>
    </row>
    <row r="483" spans="1:9" ht="15" hidden="1" customHeight="1" x14ac:dyDescent="0.25">
      <c r="A483" s="7"/>
      <c r="B483" s="33" t="s">
        <v>1352</v>
      </c>
      <c r="C483" s="6" t="s">
        <v>9</v>
      </c>
      <c r="D483" s="62">
        <v>0</v>
      </c>
      <c r="E483" s="62">
        <v>1.79</v>
      </c>
      <c r="F483" s="62">
        <v>0</v>
      </c>
      <c r="G483" s="62"/>
      <c r="H483" s="62"/>
      <c r="I483" s="62"/>
    </row>
    <row r="484" spans="1:9" ht="15" hidden="1" customHeight="1" x14ac:dyDescent="0.25">
      <c r="A484" s="7"/>
      <c r="B484" s="33" t="s">
        <v>1390</v>
      </c>
      <c r="C484" s="6"/>
      <c r="D484" s="8"/>
      <c r="E484" s="8"/>
      <c r="F484" s="8"/>
      <c r="G484" s="8"/>
      <c r="H484" s="8"/>
      <c r="I484" s="8"/>
    </row>
    <row r="485" spans="1:9" ht="15" hidden="1" customHeight="1" x14ac:dyDescent="0.25">
      <c r="A485" s="7"/>
      <c r="B485" s="33" t="s">
        <v>1351</v>
      </c>
      <c r="C485" s="6" t="s">
        <v>9</v>
      </c>
      <c r="D485" s="62">
        <v>0</v>
      </c>
      <c r="E485" s="62">
        <v>0</v>
      </c>
      <c r="F485" s="62">
        <v>0</v>
      </c>
      <c r="G485" s="62"/>
      <c r="H485" s="62"/>
      <c r="I485" s="62"/>
    </row>
    <row r="486" spans="1:9" ht="15" hidden="1" customHeight="1" x14ac:dyDescent="0.25">
      <c r="A486" s="7"/>
      <c r="B486" s="33" t="s">
        <v>1352</v>
      </c>
      <c r="C486" s="6" t="s">
        <v>9</v>
      </c>
      <c r="D486" s="62">
        <v>0</v>
      </c>
      <c r="E486" s="62">
        <v>0</v>
      </c>
      <c r="F486" s="62">
        <v>0</v>
      </c>
      <c r="G486" s="62"/>
      <c r="H486" s="62"/>
      <c r="I486" s="62"/>
    </row>
    <row r="487" spans="1:9" ht="15" hidden="1" customHeight="1" x14ac:dyDescent="0.25">
      <c r="A487" s="7"/>
      <c r="B487" s="33" t="s">
        <v>1391</v>
      </c>
      <c r="C487" s="6"/>
      <c r="D487" s="8"/>
      <c r="E487" s="8"/>
      <c r="F487" s="8"/>
      <c r="G487" s="8"/>
      <c r="H487" s="8"/>
      <c r="I487" s="8"/>
    </row>
    <row r="488" spans="1:9" ht="15" hidden="1" customHeight="1" x14ac:dyDescent="0.25">
      <c r="A488" s="7"/>
      <c r="B488" s="33" t="s">
        <v>1351</v>
      </c>
      <c r="C488" s="6" t="s">
        <v>9</v>
      </c>
      <c r="D488" s="62">
        <v>0</v>
      </c>
      <c r="E488" s="62">
        <v>0</v>
      </c>
      <c r="F488" s="62">
        <v>0</v>
      </c>
      <c r="G488" s="62"/>
      <c r="H488" s="62"/>
      <c r="I488" s="62"/>
    </row>
    <row r="489" spans="1:9" ht="15" hidden="1" customHeight="1" x14ac:dyDescent="0.25">
      <c r="A489" s="7"/>
      <c r="B489" s="33" t="s">
        <v>1352</v>
      </c>
      <c r="C489" s="6" t="s">
        <v>9</v>
      </c>
      <c r="D489" s="62">
        <v>0</v>
      </c>
      <c r="E489" s="62">
        <v>0</v>
      </c>
      <c r="F489" s="62">
        <v>0</v>
      </c>
      <c r="G489" s="62"/>
      <c r="H489" s="62"/>
      <c r="I489" s="62"/>
    </row>
    <row r="490" spans="1:9" ht="60" hidden="1" customHeight="1" x14ac:dyDescent="0.25">
      <c r="A490" s="9" t="s">
        <v>702</v>
      </c>
      <c r="B490" s="32" t="s">
        <v>701</v>
      </c>
      <c r="C490" s="7"/>
      <c r="D490" s="8"/>
      <c r="E490" s="8"/>
      <c r="F490" s="8"/>
      <c r="G490" s="8"/>
      <c r="H490" s="8"/>
      <c r="I490" s="8"/>
    </row>
    <row r="491" spans="1:9" ht="75" hidden="1" customHeight="1" x14ac:dyDescent="0.25">
      <c r="A491" s="6" t="s">
        <v>703</v>
      </c>
      <c r="B491" s="33" t="s">
        <v>1292</v>
      </c>
      <c r="C491" s="6"/>
      <c r="D491" s="8"/>
      <c r="E491" s="8"/>
      <c r="F491" s="8"/>
      <c r="G491" s="8"/>
      <c r="H491" s="8"/>
      <c r="I491" s="8"/>
    </row>
    <row r="492" spans="1:9" ht="15" hidden="1" customHeight="1" x14ac:dyDescent="0.25">
      <c r="A492" s="6"/>
      <c r="B492" s="33" t="s">
        <v>1392</v>
      </c>
      <c r="C492" s="6"/>
      <c r="D492" s="8"/>
      <c r="E492" s="8"/>
      <c r="F492" s="8"/>
      <c r="G492" s="8"/>
      <c r="H492" s="8"/>
      <c r="I492" s="8"/>
    </row>
    <row r="493" spans="1:9" ht="15" hidden="1" customHeight="1" x14ac:dyDescent="0.25">
      <c r="A493" s="6"/>
      <c r="B493" s="33" t="s">
        <v>1351</v>
      </c>
      <c r="C493" s="6" t="s">
        <v>9</v>
      </c>
      <c r="D493" s="62">
        <v>14.45</v>
      </c>
      <c r="E493" s="62">
        <v>14.33</v>
      </c>
      <c r="F493" s="62">
        <v>0</v>
      </c>
      <c r="G493" s="62"/>
      <c r="H493" s="62"/>
      <c r="I493" s="62"/>
    </row>
    <row r="494" spans="1:9" ht="15" hidden="1" customHeight="1" x14ac:dyDescent="0.25">
      <c r="A494" s="6"/>
      <c r="B494" s="33" t="s">
        <v>1352</v>
      </c>
      <c r="C494" s="6" t="s">
        <v>9</v>
      </c>
      <c r="D494" s="62">
        <v>8.4</v>
      </c>
      <c r="E494" s="62">
        <v>12.5</v>
      </c>
      <c r="F494" s="62">
        <v>0</v>
      </c>
      <c r="G494" s="62"/>
      <c r="H494" s="62"/>
      <c r="I494" s="62"/>
    </row>
    <row r="495" spans="1:9" ht="15" hidden="1" customHeight="1" x14ac:dyDescent="0.25">
      <c r="A495" s="6"/>
      <c r="B495" s="33" t="s">
        <v>1393</v>
      </c>
      <c r="C495" s="6"/>
      <c r="D495" s="8"/>
      <c r="E495" s="8"/>
      <c r="F495" s="8"/>
      <c r="G495" s="8"/>
      <c r="H495" s="8"/>
      <c r="I495" s="8"/>
    </row>
    <row r="496" spans="1:9" ht="15" hidden="1" customHeight="1" x14ac:dyDescent="0.25">
      <c r="A496" s="6"/>
      <c r="B496" s="33" t="s">
        <v>1351</v>
      </c>
      <c r="C496" s="6" t="s">
        <v>9</v>
      </c>
      <c r="D496" s="62">
        <v>56.35</v>
      </c>
      <c r="E496" s="62">
        <v>57.89</v>
      </c>
      <c r="F496" s="62">
        <v>0</v>
      </c>
      <c r="G496" s="62"/>
      <c r="H496" s="62"/>
      <c r="I496" s="62"/>
    </row>
    <row r="497" spans="1:9" ht="15" hidden="1" customHeight="1" x14ac:dyDescent="0.25">
      <c r="A497" s="6"/>
      <c r="B497" s="33" t="s">
        <v>1352</v>
      </c>
      <c r="C497" s="6" t="s">
        <v>9</v>
      </c>
      <c r="D497" s="62">
        <v>52.94</v>
      </c>
      <c r="E497" s="62">
        <v>70.19</v>
      </c>
      <c r="F497" s="62">
        <v>0</v>
      </c>
      <c r="G497" s="62"/>
      <c r="H497" s="62"/>
      <c r="I497" s="62"/>
    </row>
    <row r="498" spans="1:9" ht="75" hidden="1" customHeight="1" x14ac:dyDescent="0.25">
      <c r="A498" s="6" t="s">
        <v>711</v>
      </c>
      <c r="B498" s="33" t="s">
        <v>710</v>
      </c>
      <c r="C498" s="6"/>
      <c r="D498" s="8"/>
      <c r="E498" s="8"/>
      <c r="F498" s="8"/>
      <c r="G498" s="8"/>
      <c r="H498" s="8"/>
      <c r="I498" s="8"/>
    </row>
    <row r="499" spans="1:9" ht="15" hidden="1" customHeight="1" x14ac:dyDescent="0.25">
      <c r="A499" s="6"/>
      <c r="B499" s="33" t="s">
        <v>1351</v>
      </c>
      <c r="C499" s="6" t="s">
        <v>9</v>
      </c>
      <c r="D499" s="62">
        <v>11.68</v>
      </c>
      <c r="E499" s="62">
        <v>13.01</v>
      </c>
      <c r="F499" s="62">
        <v>0</v>
      </c>
      <c r="G499" s="62"/>
      <c r="H499" s="62"/>
      <c r="I499" s="62"/>
    </row>
    <row r="500" spans="1:9" ht="15" hidden="1" customHeight="1" x14ac:dyDescent="0.25">
      <c r="A500" s="6"/>
      <c r="B500" s="33" t="s">
        <v>1352</v>
      </c>
      <c r="C500" s="6" t="s">
        <v>9</v>
      </c>
      <c r="D500" s="62">
        <v>5.04</v>
      </c>
      <c r="E500" s="62">
        <v>3.85</v>
      </c>
      <c r="F500" s="62">
        <v>0</v>
      </c>
      <c r="G500" s="62"/>
      <c r="H500" s="62"/>
      <c r="I500" s="62"/>
    </row>
    <row r="501" spans="1:9" ht="90" hidden="1" customHeight="1" x14ac:dyDescent="0.25">
      <c r="A501" s="6" t="s">
        <v>716</v>
      </c>
      <c r="B501" s="33" t="s">
        <v>715</v>
      </c>
      <c r="C501" s="6"/>
      <c r="D501" s="8"/>
      <c r="E501" s="8"/>
      <c r="F501" s="8"/>
      <c r="G501" s="8"/>
      <c r="H501" s="8"/>
      <c r="I501" s="8"/>
    </row>
    <row r="502" spans="1:9" ht="15" hidden="1" customHeight="1" x14ac:dyDescent="0.25">
      <c r="A502" s="6"/>
      <c r="B502" s="33" t="s">
        <v>1351</v>
      </c>
      <c r="C502" s="6" t="s">
        <v>1076</v>
      </c>
      <c r="D502" s="62">
        <v>35.18</v>
      </c>
      <c r="E502" s="62">
        <v>41.08</v>
      </c>
      <c r="F502" s="62">
        <v>0</v>
      </c>
      <c r="G502" s="62"/>
      <c r="H502" s="62"/>
      <c r="I502" s="62"/>
    </row>
    <row r="503" spans="1:9" ht="15" hidden="1" customHeight="1" x14ac:dyDescent="0.25">
      <c r="A503" s="6"/>
      <c r="B503" s="33" t="s">
        <v>1352</v>
      </c>
      <c r="C503" s="6" t="s">
        <v>1076</v>
      </c>
      <c r="D503" s="62">
        <v>48.74</v>
      </c>
      <c r="E503" s="62">
        <v>47.12</v>
      </c>
      <c r="F503" s="62">
        <v>0</v>
      </c>
      <c r="G503" s="62"/>
      <c r="H503" s="62"/>
      <c r="I503" s="62"/>
    </row>
    <row r="504" spans="1:9" ht="60" hidden="1" customHeight="1" x14ac:dyDescent="0.25">
      <c r="A504" s="6" t="s">
        <v>720</v>
      </c>
      <c r="B504" s="33" t="s">
        <v>719</v>
      </c>
      <c r="C504" s="6"/>
      <c r="D504" s="8"/>
      <c r="E504" s="8"/>
      <c r="F504" s="8"/>
      <c r="G504" s="8"/>
      <c r="H504" s="8"/>
      <c r="I504" s="8"/>
    </row>
    <row r="505" spans="1:9" ht="15" hidden="1" customHeight="1" x14ac:dyDescent="0.25">
      <c r="A505" s="6"/>
      <c r="B505" s="33" t="s">
        <v>1351</v>
      </c>
      <c r="C505" s="6" t="s">
        <v>1076</v>
      </c>
      <c r="D505" s="62">
        <v>10.87</v>
      </c>
      <c r="E505" s="62">
        <v>11.33</v>
      </c>
      <c r="F505" s="62">
        <v>0</v>
      </c>
      <c r="G505" s="62"/>
      <c r="H505" s="62"/>
      <c r="I505" s="62"/>
    </row>
    <row r="506" spans="1:9" ht="15" hidden="1" customHeight="1" x14ac:dyDescent="0.25">
      <c r="A506" s="6"/>
      <c r="B506" s="33" t="s">
        <v>1352</v>
      </c>
      <c r="C506" s="6" t="s">
        <v>1076</v>
      </c>
      <c r="D506" s="62">
        <v>4.41</v>
      </c>
      <c r="E506" s="62">
        <v>3.84</v>
      </c>
      <c r="F506" s="62">
        <v>0</v>
      </c>
      <c r="G506" s="62"/>
      <c r="H506" s="62"/>
      <c r="I506" s="62"/>
    </row>
    <row r="507" spans="1:9" ht="60" hidden="1" customHeight="1" x14ac:dyDescent="0.25">
      <c r="A507" s="6" t="s">
        <v>728</v>
      </c>
      <c r="B507" s="33" t="s">
        <v>727</v>
      </c>
      <c r="C507" s="6" t="s">
        <v>9</v>
      </c>
      <c r="D507" s="62" t="s">
        <v>1500</v>
      </c>
      <c r="E507" s="62">
        <v>159.85</v>
      </c>
      <c r="F507" s="62">
        <v>0</v>
      </c>
      <c r="G507" s="62"/>
      <c r="H507" s="62"/>
      <c r="I507" s="62"/>
    </row>
    <row r="508" spans="1:9" ht="60" hidden="1" customHeight="1" x14ac:dyDescent="0.25">
      <c r="A508" s="11" t="s">
        <v>734</v>
      </c>
      <c r="B508" s="64" t="s">
        <v>1394</v>
      </c>
      <c r="C508" s="11" t="s">
        <v>9</v>
      </c>
      <c r="D508" s="111"/>
      <c r="E508" s="111"/>
      <c r="F508" s="111"/>
      <c r="G508" s="111"/>
      <c r="H508" s="111"/>
      <c r="I508" s="111"/>
    </row>
    <row r="509" spans="1:9" ht="75" hidden="1" customHeight="1" x14ac:dyDescent="0.25">
      <c r="A509" s="11" t="s">
        <v>739</v>
      </c>
      <c r="B509" s="64" t="s">
        <v>1395</v>
      </c>
      <c r="C509" s="11" t="s">
        <v>9</v>
      </c>
      <c r="D509" s="111"/>
      <c r="E509" s="111"/>
      <c r="F509" s="111"/>
      <c r="G509" s="111"/>
      <c r="H509" s="111"/>
      <c r="I509" s="111"/>
    </row>
    <row r="510" spans="1:9" ht="60" hidden="1" customHeight="1" x14ac:dyDescent="0.25">
      <c r="A510" s="9" t="s">
        <v>743</v>
      </c>
      <c r="B510" s="32" t="s">
        <v>744</v>
      </c>
      <c r="C510" s="6"/>
      <c r="D510" s="8"/>
      <c r="E510" s="8"/>
      <c r="F510" s="8"/>
      <c r="G510" s="8"/>
      <c r="H510" s="8"/>
      <c r="I510" s="8"/>
    </row>
    <row r="511" spans="1:9" ht="45" hidden="1" customHeight="1" x14ac:dyDescent="0.25">
      <c r="A511" s="6" t="s">
        <v>746</v>
      </c>
      <c r="B511" s="33" t="s">
        <v>745</v>
      </c>
      <c r="C511" s="6"/>
      <c r="D511" s="8"/>
      <c r="E511" s="8"/>
      <c r="F511" s="8"/>
      <c r="G511" s="8"/>
      <c r="H511" s="8"/>
      <c r="I511" s="8"/>
    </row>
    <row r="512" spans="1:9" ht="15" hidden="1" customHeight="1" x14ac:dyDescent="0.25">
      <c r="A512" s="6"/>
      <c r="B512" s="33" t="s">
        <v>1351</v>
      </c>
      <c r="C512" s="6" t="s">
        <v>9</v>
      </c>
      <c r="D512" s="62">
        <v>68.52</v>
      </c>
      <c r="E512" s="62">
        <v>68.83</v>
      </c>
      <c r="F512" s="62">
        <v>0</v>
      </c>
      <c r="G512" s="62"/>
      <c r="H512" s="62"/>
      <c r="I512" s="62"/>
    </row>
    <row r="513" spans="1:9" ht="15" hidden="1" customHeight="1" x14ac:dyDescent="0.25">
      <c r="A513" s="6"/>
      <c r="B513" s="33" t="s">
        <v>1352</v>
      </c>
      <c r="C513" s="6" t="s">
        <v>9</v>
      </c>
      <c r="D513" s="62">
        <v>0</v>
      </c>
      <c r="E513" s="62">
        <v>100</v>
      </c>
      <c r="F513" s="62">
        <v>0</v>
      </c>
      <c r="G513" s="62"/>
      <c r="H513" s="62"/>
      <c r="I513" s="62"/>
    </row>
    <row r="514" spans="1:9" ht="30" hidden="1" customHeight="1" x14ac:dyDescent="0.25">
      <c r="A514" s="6" t="s">
        <v>751</v>
      </c>
      <c r="B514" s="33" t="s">
        <v>752</v>
      </c>
      <c r="C514" s="6"/>
      <c r="D514" s="8"/>
      <c r="E514" s="8"/>
      <c r="F514" s="8"/>
      <c r="G514" s="8"/>
      <c r="H514" s="8"/>
      <c r="I514" s="8"/>
    </row>
    <row r="515" spans="1:9" ht="15" hidden="1" customHeight="1" x14ac:dyDescent="0.25">
      <c r="A515" s="6"/>
      <c r="B515" s="33" t="s">
        <v>1351</v>
      </c>
      <c r="C515" s="6" t="s">
        <v>9</v>
      </c>
      <c r="D515" s="62">
        <v>76.84</v>
      </c>
      <c r="E515" s="62">
        <v>73.680000000000007</v>
      </c>
      <c r="F515" s="62">
        <v>0</v>
      </c>
      <c r="G515" s="62"/>
      <c r="H515" s="62"/>
      <c r="I515" s="62"/>
    </row>
    <row r="516" spans="1:9" ht="15" hidden="1" customHeight="1" x14ac:dyDescent="0.25">
      <c r="A516" s="6"/>
      <c r="B516" s="33" t="s">
        <v>1352</v>
      </c>
      <c r="C516" s="6" t="s">
        <v>9</v>
      </c>
      <c r="D516" s="62">
        <v>831.3</v>
      </c>
      <c r="E516" s="62">
        <v>1056.19</v>
      </c>
      <c r="F516" s="62">
        <v>0</v>
      </c>
      <c r="G516" s="62"/>
      <c r="H516" s="62"/>
      <c r="I516" s="62"/>
    </row>
    <row r="517" spans="1:9" ht="45" hidden="1" customHeight="1" x14ac:dyDescent="0.25">
      <c r="A517" s="6" t="s">
        <v>1295</v>
      </c>
      <c r="B517" s="33" t="s">
        <v>757</v>
      </c>
      <c r="C517" s="6"/>
      <c r="D517" s="8"/>
      <c r="E517" s="8"/>
      <c r="F517" s="8"/>
      <c r="G517" s="8"/>
      <c r="H517" s="8"/>
      <c r="I517" s="8"/>
    </row>
    <row r="518" spans="1:9" ht="15" hidden="1" customHeight="1" x14ac:dyDescent="0.25">
      <c r="A518" s="22"/>
      <c r="B518" s="33" t="s">
        <v>1355</v>
      </c>
      <c r="C518" s="6"/>
      <c r="D518" s="8"/>
      <c r="E518" s="8"/>
      <c r="F518" s="8"/>
      <c r="G518" s="8"/>
      <c r="H518" s="8"/>
      <c r="I518" s="8"/>
    </row>
    <row r="519" spans="1:9" ht="15" hidden="1" customHeight="1" x14ac:dyDescent="0.25">
      <c r="A519" s="22"/>
      <c r="B519" s="33" t="s">
        <v>1351</v>
      </c>
      <c r="C519" s="6" t="s">
        <v>1268</v>
      </c>
      <c r="D519" s="62">
        <v>20.77</v>
      </c>
      <c r="E519" s="62">
        <v>21.61</v>
      </c>
      <c r="F519" s="62">
        <v>0</v>
      </c>
      <c r="G519" s="62"/>
      <c r="H519" s="62"/>
      <c r="I519" s="62"/>
    </row>
    <row r="520" spans="1:9" ht="15" hidden="1" customHeight="1" x14ac:dyDescent="0.25">
      <c r="A520" s="22"/>
      <c r="B520" s="33" t="s">
        <v>1352</v>
      </c>
      <c r="C520" s="6" t="s">
        <v>1268</v>
      </c>
      <c r="D520" s="62">
        <v>55.63</v>
      </c>
      <c r="E520" s="62">
        <v>68.38</v>
      </c>
      <c r="F520" s="62">
        <v>0</v>
      </c>
      <c r="G520" s="62"/>
      <c r="H520" s="62"/>
      <c r="I520" s="62"/>
    </row>
    <row r="521" spans="1:9" ht="15" hidden="1" customHeight="1" x14ac:dyDescent="0.25">
      <c r="A521" s="22"/>
      <c r="B521" s="33" t="s">
        <v>1356</v>
      </c>
      <c r="C521" s="6"/>
      <c r="D521" s="8"/>
      <c r="E521" s="8"/>
      <c r="F521" s="8"/>
      <c r="G521" s="8"/>
      <c r="H521" s="8"/>
      <c r="I521" s="8"/>
    </row>
    <row r="522" spans="1:9" ht="15" hidden="1" customHeight="1" x14ac:dyDescent="0.25">
      <c r="A522" s="22"/>
      <c r="B522" s="33" t="s">
        <v>1351</v>
      </c>
      <c r="C522" s="6" t="s">
        <v>1268</v>
      </c>
      <c r="D522" s="62">
        <v>17.21</v>
      </c>
      <c r="E522" s="62">
        <v>17.989999999999998</v>
      </c>
      <c r="F522" s="62">
        <v>0</v>
      </c>
      <c r="G522" s="62"/>
      <c r="H522" s="62"/>
      <c r="I522" s="62"/>
    </row>
    <row r="523" spans="1:9" ht="15" hidden="1" customHeight="1" x14ac:dyDescent="0.25">
      <c r="A523" s="22"/>
      <c r="B523" s="33" t="s">
        <v>1352</v>
      </c>
      <c r="C523" s="6" t="s">
        <v>1268</v>
      </c>
      <c r="D523" s="62">
        <v>55.63</v>
      </c>
      <c r="E523" s="62">
        <v>68.38</v>
      </c>
      <c r="F523" s="62">
        <v>0</v>
      </c>
      <c r="G523" s="62"/>
      <c r="H523" s="62"/>
      <c r="I523" s="62"/>
    </row>
    <row r="524" spans="1:9" ht="45" hidden="1" customHeight="1" x14ac:dyDescent="0.25">
      <c r="A524" s="6" t="s">
        <v>771</v>
      </c>
      <c r="B524" s="33" t="s">
        <v>765</v>
      </c>
      <c r="C524" s="6"/>
      <c r="D524" s="8"/>
      <c r="E524" s="8"/>
      <c r="F524" s="8"/>
      <c r="G524" s="8"/>
      <c r="H524" s="8"/>
      <c r="I524" s="8"/>
    </row>
    <row r="525" spans="1:9" ht="15" hidden="1" customHeight="1" x14ac:dyDescent="0.25">
      <c r="A525" s="6"/>
      <c r="B525" s="33" t="s">
        <v>1351</v>
      </c>
      <c r="C525" s="6" t="s">
        <v>9</v>
      </c>
      <c r="D525" s="62">
        <v>100</v>
      </c>
      <c r="E525" s="62">
        <v>100</v>
      </c>
      <c r="F525" s="62">
        <v>0</v>
      </c>
      <c r="G525" s="62"/>
      <c r="H525" s="62"/>
      <c r="I525" s="62"/>
    </row>
    <row r="526" spans="1:9" ht="15" hidden="1" customHeight="1" x14ac:dyDescent="0.25">
      <c r="A526" s="6"/>
      <c r="B526" s="33" t="s">
        <v>1352</v>
      </c>
      <c r="C526" s="6" t="s">
        <v>9</v>
      </c>
      <c r="D526" s="62">
        <v>77.78</v>
      </c>
      <c r="E526" s="62">
        <v>87.5</v>
      </c>
      <c r="F526" s="62">
        <v>0</v>
      </c>
      <c r="G526" s="62"/>
      <c r="H526" s="62"/>
      <c r="I526" s="62"/>
    </row>
    <row r="527" spans="1:9" ht="30" hidden="1" customHeight="1" x14ac:dyDescent="0.25">
      <c r="A527" s="6" t="s">
        <v>770</v>
      </c>
      <c r="B527" s="33" t="s">
        <v>772</v>
      </c>
      <c r="C527" s="6"/>
      <c r="D527" s="8"/>
      <c r="E527" s="8"/>
      <c r="F527" s="8"/>
      <c r="G527" s="8"/>
      <c r="H527" s="8"/>
      <c r="I527" s="8"/>
    </row>
    <row r="528" spans="1:9" ht="30" hidden="1" customHeight="1" x14ac:dyDescent="0.25">
      <c r="A528" s="6"/>
      <c r="B528" s="33" t="s">
        <v>1351</v>
      </c>
      <c r="C528" s="6" t="s">
        <v>1267</v>
      </c>
      <c r="D528" s="62">
        <v>16.45</v>
      </c>
      <c r="E528" s="62">
        <v>15.54</v>
      </c>
      <c r="F528" s="62">
        <v>0</v>
      </c>
      <c r="G528" s="62"/>
      <c r="H528" s="62"/>
      <c r="I528" s="62"/>
    </row>
    <row r="529" spans="1:9" ht="30" hidden="1" customHeight="1" x14ac:dyDescent="0.25">
      <c r="A529" s="6"/>
      <c r="B529" s="33" t="s">
        <v>1352</v>
      </c>
      <c r="C529" s="6" t="s">
        <v>1267</v>
      </c>
      <c r="D529" s="62">
        <v>33.880000000000003</v>
      </c>
      <c r="E529" s="62">
        <v>34.26</v>
      </c>
      <c r="F529" s="62">
        <v>0</v>
      </c>
      <c r="G529" s="62"/>
      <c r="H529" s="62"/>
      <c r="I529" s="62"/>
    </row>
    <row r="530" spans="1:9" ht="30" hidden="1" customHeight="1" x14ac:dyDescent="0.25">
      <c r="A530" s="9" t="s">
        <v>778</v>
      </c>
      <c r="B530" s="32" t="s">
        <v>779</v>
      </c>
      <c r="C530" s="7"/>
      <c r="D530" s="8"/>
      <c r="E530" s="8"/>
      <c r="F530" s="8"/>
      <c r="G530" s="8"/>
      <c r="H530" s="8"/>
      <c r="I530" s="8"/>
    </row>
    <row r="531" spans="1:9" ht="45" hidden="1" customHeight="1" x14ac:dyDescent="0.25">
      <c r="A531" s="6" t="s">
        <v>781</v>
      </c>
      <c r="B531" s="33" t="s">
        <v>780</v>
      </c>
      <c r="C531" s="6"/>
      <c r="D531" s="8"/>
      <c r="E531" s="8"/>
      <c r="F531" s="8"/>
      <c r="G531" s="8"/>
      <c r="H531" s="8"/>
      <c r="I531" s="8"/>
    </row>
    <row r="532" spans="1:9" ht="15" hidden="1" customHeight="1" x14ac:dyDescent="0.25">
      <c r="A532" s="6"/>
      <c r="B532" s="33" t="s">
        <v>1351</v>
      </c>
      <c r="C532" s="6" t="s">
        <v>9</v>
      </c>
      <c r="D532" s="62">
        <v>100</v>
      </c>
      <c r="E532" s="62">
        <v>100</v>
      </c>
      <c r="F532" s="62">
        <v>0</v>
      </c>
      <c r="G532" s="62"/>
      <c r="H532" s="62"/>
      <c r="I532" s="62"/>
    </row>
    <row r="533" spans="1:9" ht="15" hidden="1" customHeight="1" x14ac:dyDescent="0.25">
      <c r="A533" s="6"/>
      <c r="B533" s="33" t="s">
        <v>1352</v>
      </c>
      <c r="C533" s="6" t="s">
        <v>9</v>
      </c>
      <c r="D533" s="62">
        <v>44.44</v>
      </c>
      <c r="E533" s="62">
        <v>50</v>
      </c>
      <c r="F533" s="62">
        <v>0</v>
      </c>
      <c r="G533" s="62"/>
      <c r="H533" s="62"/>
      <c r="I533" s="62"/>
    </row>
    <row r="534" spans="1:9" ht="60" hidden="1" customHeight="1" x14ac:dyDescent="0.25">
      <c r="A534" s="6" t="s">
        <v>789</v>
      </c>
      <c r="B534" s="33" t="s">
        <v>788</v>
      </c>
      <c r="C534" s="6"/>
      <c r="D534" s="8"/>
      <c r="E534" s="8"/>
      <c r="F534" s="8"/>
      <c r="G534" s="8"/>
      <c r="H534" s="8"/>
      <c r="I534" s="8"/>
    </row>
    <row r="535" spans="1:9" ht="15" hidden="1" customHeight="1" x14ac:dyDescent="0.25">
      <c r="A535" s="6"/>
      <c r="B535" s="33" t="s">
        <v>1351</v>
      </c>
      <c r="C535" s="6" t="s">
        <v>9</v>
      </c>
      <c r="D535" s="62">
        <v>0.36</v>
      </c>
      <c r="E535" s="62">
        <v>0.35</v>
      </c>
      <c r="F535" s="62">
        <v>0</v>
      </c>
      <c r="G535" s="62"/>
      <c r="H535" s="62"/>
      <c r="I535" s="62"/>
    </row>
    <row r="536" spans="1:9" ht="15" hidden="1" customHeight="1" x14ac:dyDescent="0.25">
      <c r="A536" s="6"/>
      <c r="B536" s="33" t="s">
        <v>1352</v>
      </c>
      <c r="C536" s="6" t="s">
        <v>9</v>
      </c>
      <c r="D536" s="62">
        <v>7.0000000000000007E-2</v>
      </c>
      <c r="E536" s="62">
        <v>0</v>
      </c>
      <c r="F536" s="62">
        <v>0</v>
      </c>
      <c r="G536" s="62"/>
      <c r="H536" s="62"/>
      <c r="I536" s="62"/>
    </row>
    <row r="537" spans="1:9" ht="45" hidden="1" customHeight="1" x14ac:dyDescent="0.25">
      <c r="A537" s="9" t="s">
        <v>791</v>
      </c>
      <c r="B537" s="32" t="s">
        <v>792</v>
      </c>
      <c r="C537" s="7"/>
      <c r="D537" s="8"/>
      <c r="E537" s="8"/>
      <c r="F537" s="8"/>
      <c r="G537" s="8"/>
      <c r="H537" s="8"/>
      <c r="I537" s="8"/>
    </row>
    <row r="538" spans="1:9" ht="75" hidden="1" customHeight="1" x14ac:dyDescent="0.25">
      <c r="A538" s="6" t="s">
        <v>794</v>
      </c>
      <c r="B538" s="33" t="s">
        <v>793</v>
      </c>
      <c r="C538" s="6"/>
      <c r="D538" s="8"/>
      <c r="E538" s="8"/>
      <c r="F538" s="8"/>
      <c r="G538" s="8"/>
      <c r="H538" s="8"/>
      <c r="I538" s="8"/>
    </row>
    <row r="539" spans="1:9" ht="15" hidden="1" customHeight="1" x14ac:dyDescent="0.25">
      <c r="A539" s="6"/>
      <c r="B539" s="33" t="s">
        <v>1351</v>
      </c>
      <c r="C539" s="6" t="s">
        <v>9</v>
      </c>
      <c r="D539" s="62">
        <v>32.74</v>
      </c>
      <c r="E539" s="62">
        <v>22.67</v>
      </c>
      <c r="F539" s="62">
        <v>0</v>
      </c>
      <c r="G539" s="62"/>
      <c r="H539" s="62"/>
      <c r="I539" s="62"/>
    </row>
    <row r="540" spans="1:9" ht="15" hidden="1" customHeight="1" x14ac:dyDescent="0.25">
      <c r="A540" s="6"/>
      <c r="B540" s="33" t="s">
        <v>1352</v>
      </c>
      <c r="C540" s="6" t="s">
        <v>9</v>
      </c>
      <c r="D540" s="62">
        <v>0</v>
      </c>
      <c r="E540" s="62">
        <v>0</v>
      </c>
      <c r="F540" s="62">
        <v>0</v>
      </c>
      <c r="G540" s="62"/>
      <c r="H540" s="62"/>
      <c r="I540" s="62"/>
    </row>
    <row r="541" spans="1:9" ht="60" hidden="1" customHeight="1" x14ac:dyDescent="0.25">
      <c r="A541" s="6" t="s">
        <v>800</v>
      </c>
      <c r="B541" s="33" t="s">
        <v>1396</v>
      </c>
      <c r="C541" s="6" t="s">
        <v>9</v>
      </c>
      <c r="D541" s="62"/>
      <c r="E541" s="62"/>
      <c r="F541" s="62"/>
      <c r="G541" s="62"/>
      <c r="H541" s="62"/>
      <c r="I541" s="62"/>
    </row>
    <row r="542" spans="1:9" ht="45" hidden="1" customHeight="1" x14ac:dyDescent="0.25">
      <c r="A542" s="9" t="s">
        <v>803</v>
      </c>
      <c r="B542" s="32" t="s">
        <v>804</v>
      </c>
      <c r="C542" s="7"/>
      <c r="D542" s="8"/>
      <c r="E542" s="8"/>
      <c r="F542" s="8"/>
      <c r="G542" s="8"/>
      <c r="H542" s="8"/>
      <c r="I542" s="8"/>
    </row>
    <row r="543" spans="1:9" ht="75" hidden="1" customHeight="1" x14ac:dyDescent="0.25">
      <c r="A543" s="6" t="s">
        <v>806</v>
      </c>
      <c r="B543" s="33" t="s">
        <v>805</v>
      </c>
      <c r="C543" s="11"/>
      <c r="D543" s="8"/>
      <c r="E543" s="8"/>
      <c r="F543" s="8"/>
      <c r="G543" s="8"/>
      <c r="H543" s="8"/>
      <c r="I543" s="8"/>
    </row>
    <row r="544" spans="1:9" ht="15" hidden="1" customHeight="1" x14ac:dyDescent="0.25">
      <c r="A544" s="6"/>
      <c r="B544" s="33" t="s">
        <v>1351</v>
      </c>
      <c r="C544" s="11" t="s">
        <v>9</v>
      </c>
      <c r="D544" s="62">
        <v>18.3</v>
      </c>
      <c r="E544" s="62">
        <v>17.84</v>
      </c>
      <c r="F544" s="62">
        <v>0</v>
      </c>
      <c r="G544" s="62"/>
      <c r="H544" s="62"/>
      <c r="I544" s="62"/>
    </row>
    <row r="545" spans="1:9" ht="15" hidden="1" customHeight="1" x14ac:dyDescent="0.25">
      <c r="A545" s="6"/>
      <c r="B545" s="33" t="s">
        <v>1352</v>
      </c>
      <c r="C545" s="11" t="s">
        <v>9</v>
      </c>
      <c r="D545" s="62">
        <v>100</v>
      </c>
      <c r="E545" s="62">
        <v>100</v>
      </c>
      <c r="F545" s="62">
        <v>0</v>
      </c>
      <c r="G545" s="62"/>
      <c r="H545" s="62"/>
      <c r="I545" s="62"/>
    </row>
    <row r="546" spans="1:9" ht="30" hidden="1" customHeight="1" x14ac:dyDescent="0.25">
      <c r="A546" s="6" t="s">
        <v>814</v>
      </c>
      <c r="B546" s="33" t="s">
        <v>813</v>
      </c>
      <c r="C546" s="11"/>
      <c r="D546" s="8"/>
      <c r="E546" s="8"/>
      <c r="F546" s="8"/>
      <c r="G546" s="8"/>
      <c r="H546" s="8"/>
      <c r="I546" s="8"/>
    </row>
    <row r="547" spans="1:9" ht="15" hidden="1" customHeight="1" x14ac:dyDescent="0.25">
      <c r="A547" s="6"/>
      <c r="B547" s="33" t="s">
        <v>1351</v>
      </c>
      <c r="C547" s="11" t="s">
        <v>1270</v>
      </c>
      <c r="D547" s="62">
        <v>246.82</v>
      </c>
      <c r="E547" s="62">
        <v>262.37</v>
      </c>
      <c r="F547" s="62">
        <v>0</v>
      </c>
      <c r="G547" s="62"/>
      <c r="H547" s="62"/>
      <c r="I547" s="62"/>
    </row>
    <row r="548" spans="1:9" ht="15" hidden="1" customHeight="1" x14ac:dyDescent="0.25">
      <c r="A548" s="6"/>
      <c r="B548" s="33" t="s">
        <v>1352</v>
      </c>
      <c r="C548" s="11" t="s">
        <v>1270</v>
      </c>
      <c r="D548" s="62">
        <v>403.4</v>
      </c>
      <c r="E548" s="62">
        <v>427.57</v>
      </c>
      <c r="F548" s="62">
        <v>0</v>
      </c>
      <c r="G548" s="62"/>
      <c r="H548" s="62"/>
      <c r="I548" s="62"/>
    </row>
    <row r="549" spans="1:9" ht="45" hidden="1" customHeight="1" x14ac:dyDescent="0.25">
      <c r="A549" s="9" t="s">
        <v>818</v>
      </c>
      <c r="B549" s="32" t="s">
        <v>819</v>
      </c>
      <c r="C549" s="7"/>
      <c r="D549" s="8"/>
      <c r="E549" s="8"/>
      <c r="F549" s="8"/>
      <c r="G549" s="8"/>
      <c r="H549" s="8"/>
      <c r="I549" s="8"/>
    </row>
    <row r="550" spans="1:9" ht="60" hidden="1" customHeight="1" x14ac:dyDescent="0.25">
      <c r="A550" s="6" t="s">
        <v>821</v>
      </c>
      <c r="B550" s="33" t="s">
        <v>820</v>
      </c>
      <c r="C550" s="11"/>
      <c r="D550" s="8"/>
      <c r="E550" s="8"/>
      <c r="F550" s="8"/>
      <c r="G550" s="8"/>
      <c r="H550" s="8"/>
      <c r="I550" s="8"/>
    </row>
    <row r="551" spans="1:9" ht="15" hidden="1" customHeight="1" x14ac:dyDescent="0.25">
      <c r="A551" s="6"/>
      <c r="B551" s="33" t="s">
        <v>1351</v>
      </c>
      <c r="C551" s="11" t="s">
        <v>9</v>
      </c>
      <c r="D551" s="62">
        <v>0</v>
      </c>
      <c r="E551" s="62">
        <v>0</v>
      </c>
      <c r="F551" s="62">
        <v>0</v>
      </c>
      <c r="G551" s="62"/>
      <c r="H551" s="62"/>
      <c r="I551" s="62"/>
    </row>
    <row r="552" spans="1:9" ht="15" hidden="1" customHeight="1" x14ac:dyDescent="0.25">
      <c r="A552" s="6"/>
      <c r="B552" s="33" t="s">
        <v>1352</v>
      </c>
      <c r="C552" s="11" t="s">
        <v>9</v>
      </c>
      <c r="D552" s="62">
        <v>0</v>
      </c>
      <c r="E552" s="62">
        <v>0</v>
      </c>
      <c r="F552" s="62">
        <v>0</v>
      </c>
      <c r="G552" s="62"/>
      <c r="H552" s="62"/>
      <c r="I552" s="62"/>
    </row>
    <row r="553" spans="1:9" ht="60" hidden="1" customHeight="1" x14ac:dyDescent="0.25">
      <c r="A553" s="9" t="s">
        <v>826</v>
      </c>
      <c r="B553" s="32" t="s">
        <v>827</v>
      </c>
      <c r="C553" s="7"/>
      <c r="D553" s="8"/>
      <c r="E553" s="8"/>
      <c r="F553" s="8"/>
      <c r="G553" s="8"/>
      <c r="H553" s="8"/>
      <c r="I553" s="8"/>
    </row>
    <row r="554" spans="1:9" ht="45" hidden="1" customHeight="1" x14ac:dyDescent="0.25">
      <c r="A554" s="6" t="s">
        <v>829</v>
      </c>
      <c r="B554" s="33" t="s">
        <v>828</v>
      </c>
      <c r="C554" s="11"/>
      <c r="D554" s="8"/>
      <c r="E554" s="8"/>
      <c r="F554" s="8"/>
      <c r="G554" s="8"/>
      <c r="H554" s="8"/>
      <c r="I554" s="8"/>
    </row>
    <row r="555" spans="1:9" ht="15" hidden="1" customHeight="1" x14ac:dyDescent="0.25">
      <c r="A555" s="6"/>
      <c r="B555" s="33" t="s">
        <v>1351</v>
      </c>
      <c r="C555" s="11" t="s">
        <v>9</v>
      </c>
      <c r="D555" s="62">
        <v>14.46</v>
      </c>
      <c r="E555" s="62">
        <v>12.46</v>
      </c>
      <c r="F555" s="62">
        <v>0</v>
      </c>
      <c r="G555" s="62"/>
      <c r="H555" s="62"/>
      <c r="I555" s="62"/>
    </row>
    <row r="556" spans="1:9" ht="15" hidden="1" customHeight="1" x14ac:dyDescent="0.25">
      <c r="A556" s="6"/>
      <c r="B556" s="33" t="s">
        <v>1352</v>
      </c>
      <c r="C556" s="11" t="s">
        <v>9</v>
      </c>
      <c r="D556" s="62">
        <v>4.0599999999999996</v>
      </c>
      <c r="E556" s="62">
        <v>5.88</v>
      </c>
      <c r="F556" s="62">
        <v>0</v>
      </c>
      <c r="G556" s="62"/>
      <c r="H556" s="62"/>
      <c r="I556" s="62"/>
    </row>
    <row r="557" spans="1:9" ht="30" hidden="1" customHeight="1" x14ac:dyDescent="0.25">
      <c r="A557" s="6" t="s">
        <v>834</v>
      </c>
      <c r="B557" s="33" t="s">
        <v>835</v>
      </c>
      <c r="C557" s="11"/>
      <c r="D557" s="8"/>
      <c r="E557" s="8"/>
      <c r="F557" s="8"/>
      <c r="G557" s="8"/>
      <c r="H557" s="8"/>
      <c r="I557" s="8"/>
    </row>
    <row r="558" spans="1:9" ht="15" hidden="1" customHeight="1" x14ac:dyDescent="0.25">
      <c r="A558" s="6"/>
      <c r="B558" s="33" t="s">
        <v>1351</v>
      </c>
      <c r="C558" s="11" t="s">
        <v>1270</v>
      </c>
      <c r="D558" s="62">
        <v>521.78</v>
      </c>
      <c r="E558" s="62">
        <v>485.43</v>
      </c>
      <c r="F558" s="62">
        <v>0</v>
      </c>
      <c r="G558" s="62"/>
      <c r="H558" s="62"/>
      <c r="I558" s="62"/>
    </row>
    <row r="559" spans="1:9" ht="15" hidden="1" customHeight="1" x14ac:dyDescent="0.25">
      <c r="A559" s="6"/>
      <c r="B559" s="33" t="s">
        <v>1352</v>
      </c>
      <c r="C559" s="11" t="s">
        <v>1270</v>
      </c>
      <c r="D559" s="62">
        <v>84.08</v>
      </c>
      <c r="E559" s="62">
        <v>116.68</v>
      </c>
      <c r="F559" s="62">
        <v>0</v>
      </c>
      <c r="G559" s="62"/>
      <c r="H559" s="62"/>
      <c r="I559" s="62"/>
    </row>
    <row r="560" spans="1:9" ht="75" hidden="1" customHeight="1" x14ac:dyDescent="0.25">
      <c r="A560" s="11" t="s">
        <v>840</v>
      </c>
      <c r="B560" s="64" t="s">
        <v>1387</v>
      </c>
      <c r="C560" s="11" t="s">
        <v>9</v>
      </c>
      <c r="D560" s="111"/>
      <c r="E560" s="111"/>
      <c r="F560" s="111"/>
      <c r="G560" s="111"/>
      <c r="H560" s="111"/>
      <c r="I560" s="111"/>
    </row>
    <row r="561" spans="1:9" ht="120" hidden="1" customHeight="1" x14ac:dyDescent="0.25">
      <c r="A561" s="11" t="s">
        <v>844</v>
      </c>
      <c r="B561" s="64" t="s">
        <v>1397</v>
      </c>
      <c r="C561" s="11" t="s">
        <v>9</v>
      </c>
      <c r="D561" s="111"/>
      <c r="E561" s="111"/>
      <c r="F561" s="111"/>
      <c r="G561" s="111"/>
      <c r="H561" s="111"/>
      <c r="I561" s="111"/>
    </row>
    <row r="562" spans="1:9" ht="45" hidden="1" customHeight="1" x14ac:dyDescent="0.25">
      <c r="A562" s="9" t="s">
        <v>848</v>
      </c>
      <c r="B562" s="32" t="s">
        <v>849</v>
      </c>
      <c r="C562" s="7"/>
      <c r="D562" s="8"/>
      <c r="E562" s="8"/>
      <c r="F562" s="8"/>
      <c r="G562" s="8"/>
      <c r="H562" s="8"/>
      <c r="I562" s="8"/>
    </row>
    <row r="563" spans="1:9" ht="45" hidden="1" customHeight="1" x14ac:dyDescent="0.25">
      <c r="A563" s="6" t="s">
        <v>850</v>
      </c>
      <c r="B563" s="33" t="s">
        <v>1296</v>
      </c>
      <c r="C563" s="11"/>
      <c r="D563" s="8"/>
      <c r="E563" s="8"/>
      <c r="F563" s="8"/>
      <c r="G563" s="8"/>
      <c r="H563" s="8"/>
      <c r="I563" s="8"/>
    </row>
    <row r="564" spans="1:9" ht="15" hidden="1" customHeight="1" x14ac:dyDescent="0.25">
      <c r="A564" s="6"/>
      <c r="B564" s="33" t="s">
        <v>1385</v>
      </c>
      <c r="C564" s="11"/>
      <c r="D564" s="8"/>
      <c r="E564" s="8"/>
      <c r="F564" s="8"/>
      <c r="G564" s="8"/>
      <c r="H564" s="8"/>
      <c r="I564" s="8"/>
    </row>
    <row r="565" spans="1:9" ht="15" hidden="1" customHeight="1" x14ac:dyDescent="0.25">
      <c r="A565" s="6"/>
      <c r="B565" s="33" t="s">
        <v>1351</v>
      </c>
      <c r="C565" s="11" t="s">
        <v>9</v>
      </c>
      <c r="D565" s="62">
        <v>100</v>
      </c>
      <c r="E565" s="62">
        <v>100</v>
      </c>
      <c r="F565" s="62">
        <v>0</v>
      </c>
      <c r="G565" s="62"/>
      <c r="H565" s="62"/>
      <c r="I565" s="62"/>
    </row>
    <row r="566" spans="1:9" ht="15" hidden="1" customHeight="1" x14ac:dyDescent="0.25">
      <c r="A566" s="6"/>
      <c r="B566" s="33" t="s">
        <v>1352</v>
      </c>
      <c r="C566" s="11" t="s">
        <v>9</v>
      </c>
      <c r="D566" s="62">
        <v>70.37</v>
      </c>
      <c r="E566" s="62">
        <v>92.61</v>
      </c>
      <c r="F566" s="62">
        <v>0</v>
      </c>
      <c r="G566" s="62"/>
      <c r="H566" s="62"/>
      <c r="I566" s="62"/>
    </row>
    <row r="567" spans="1:9" ht="15" hidden="1" customHeight="1" x14ac:dyDescent="0.25">
      <c r="A567" s="6"/>
      <c r="B567" s="33" t="s">
        <v>1386</v>
      </c>
      <c r="C567" s="11"/>
      <c r="D567" s="8"/>
      <c r="E567" s="8"/>
      <c r="F567" s="8"/>
      <c r="G567" s="8"/>
      <c r="H567" s="8"/>
      <c r="I567" s="8"/>
    </row>
    <row r="568" spans="1:9" ht="15" hidden="1" customHeight="1" x14ac:dyDescent="0.25">
      <c r="A568" s="6"/>
      <c r="B568" s="33" t="s">
        <v>1351</v>
      </c>
      <c r="C568" s="11" t="s">
        <v>9</v>
      </c>
      <c r="D568" s="62">
        <v>97.73</v>
      </c>
      <c r="E568" s="62">
        <v>100</v>
      </c>
      <c r="F568" s="62">
        <v>0</v>
      </c>
      <c r="G568" s="62"/>
      <c r="H568" s="62"/>
      <c r="I568" s="62"/>
    </row>
    <row r="569" spans="1:9" ht="15" hidden="1" customHeight="1" x14ac:dyDescent="0.25">
      <c r="A569" s="6"/>
      <c r="B569" s="33" t="s">
        <v>1352</v>
      </c>
      <c r="C569" s="11" t="s">
        <v>9</v>
      </c>
      <c r="D569" s="62">
        <v>0</v>
      </c>
      <c r="E569" s="62">
        <v>100</v>
      </c>
      <c r="F569" s="62">
        <v>0</v>
      </c>
      <c r="G569" s="62"/>
      <c r="H569" s="62"/>
      <c r="I569" s="62"/>
    </row>
    <row r="570" spans="1:9" ht="30" hidden="1" customHeight="1" x14ac:dyDescent="0.25">
      <c r="A570" s="6" t="s">
        <v>859</v>
      </c>
      <c r="B570" s="33" t="s">
        <v>860</v>
      </c>
      <c r="C570" s="11"/>
      <c r="D570" s="8"/>
      <c r="E570" s="8"/>
      <c r="F570" s="8"/>
      <c r="G570" s="8"/>
      <c r="H570" s="8"/>
      <c r="I570" s="8"/>
    </row>
    <row r="571" spans="1:9" ht="15" hidden="1" customHeight="1" x14ac:dyDescent="0.25">
      <c r="A571" s="6"/>
      <c r="B571" s="33" t="s">
        <v>1385</v>
      </c>
      <c r="C571" s="11"/>
      <c r="D571" s="8"/>
      <c r="E571" s="8"/>
      <c r="F571" s="8"/>
      <c r="G571" s="8"/>
      <c r="H571" s="8"/>
      <c r="I571" s="8"/>
    </row>
    <row r="572" spans="1:9" ht="15" hidden="1" customHeight="1" x14ac:dyDescent="0.25">
      <c r="A572" s="6"/>
      <c r="B572" s="33" t="s">
        <v>1351</v>
      </c>
      <c r="C572" s="11" t="s">
        <v>9</v>
      </c>
      <c r="D572" s="62">
        <v>1.29</v>
      </c>
      <c r="E572" s="62">
        <v>1.31</v>
      </c>
      <c r="F572" s="62" t="s">
        <v>1500</v>
      </c>
      <c r="G572" s="62"/>
      <c r="H572" s="62"/>
      <c r="I572" s="62"/>
    </row>
    <row r="573" spans="1:9" ht="15" hidden="1" customHeight="1" x14ac:dyDescent="0.25">
      <c r="A573" s="6"/>
      <c r="B573" s="33" t="s">
        <v>1352</v>
      </c>
      <c r="C573" s="11" t="s">
        <v>9</v>
      </c>
      <c r="D573" s="62">
        <v>0</v>
      </c>
      <c r="E573" s="62">
        <v>0</v>
      </c>
      <c r="F573" s="62" t="s">
        <v>1500</v>
      </c>
      <c r="G573" s="62"/>
      <c r="H573" s="62"/>
      <c r="I573" s="62"/>
    </row>
    <row r="574" spans="1:9" ht="15" hidden="1" customHeight="1" x14ac:dyDescent="0.25">
      <c r="A574" s="6"/>
      <c r="B574" s="33" t="s">
        <v>1386</v>
      </c>
      <c r="C574" s="11"/>
      <c r="D574" s="8"/>
      <c r="E574" s="8"/>
      <c r="F574" s="8"/>
      <c r="G574" s="8"/>
      <c r="H574" s="8"/>
      <c r="I574" s="8"/>
    </row>
    <row r="575" spans="1:9" ht="15" hidden="1" customHeight="1" x14ac:dyDescent="0.25">
      <c r="A575" s="6"/>
      <c r="B575" s="33" t="s">
        <v>1351</v>
      </c>
      <c r="C575" s="11" t="s">
        <v>9</v>
      </c>
      <c r="D575" s="62">
        <v>0</v>
      </c>
      <c r="E575" s="62">
        <v>0</v>
      </c>
      <c r="F575" s="62" t="s">
        <v>1500</v>
      </c>
      <c r="G575" s="62"/>
      <c r="H575" s="62"/>
      <c r="I575" s="62"/>
    </row>
    <row r="576" spans="1:9" ht="15" hidden="1" customHeight="1" x14ac:dyDescent="0.25">
      <c r="A576" s="6"/>
      <c r="B576" s="33" t="s">
        <v>1352</v>
      </c>
      <c r="C576" s="11" t="s">
        <v>9</v>
      </c>
      <c r="D576" s="62">
        <v>0</v>
      </c>
      <c r="E576" s="62">
        <v>0</v>
      </c>
      <c r="F576" s="62" t="s">
        <v>1500</v>
      </c>
      <c r="G576" s="62"/>
      <c r="H576" s="62"/>
      <c r="I576" s="62"/>
    </row>
    <row r="577" spans="1:9" ht="30" hidden="1" customHeight="1" x14ac:dyDescent="0.25">
      <c r="A577" s="6" t="s">
        <v>867</v>
      </c>
      <c r="B577" s="33" t="s">
        <v>868</v>
      </c>
      <c r="C577" s="11"/>
      <c r="D577" s="8"/>
      <c r="E577" s="8"/>
      <c r="F577" s="8"/>
      <c r="G577" s="8"/>
      <c r="H577" s="8"/>
      <c r="I577" s="8"/>
    </row>
    <row r="578" spans="1:9" ht="15" hidden="1" customHeight="1" x14ac:dyDescent="0.25">
      <c r="A578" s="6"/>
      <c r="B578" s="33" t="s">
        <v>1385</v>
      </c>
      <c r="C578" s="11"/>
      <c r="D578" s="8"/>
      <c r="E578" s="8"/>
      <c r="F578" s="8"/>
      <c r="G578" s="8"/>
      <c r="H578" s="8"/>
      <c r="I578" s="8"/>
    </row>
    <row r="579" spans="1:9" ht="15" hidden="1" customHeight="1" x14ac:dyDescent="0.25">
      <c r="A579" s="6"/>
      <c r="B579" s="33" t="s">
        <v>1351</v>
      </c>
      <c r="C579" s="11" t="s">
        <v>9</v>
      </c>
      <c r="D579" s="62">
        <v>0.44</v>
      </c>
      <c r="E579" s="62">
        <v>0.45</v>
      </c>
      <c r="F579" s="62" t="s">
        <v>1500</v>
      </c>
      <c r="G579" s="62"/>
      <c r="H579" s="62"/>
      <c r="I579" s="62"/>
    </row>
    <row r="580" spans="1:9" ht="15" hidden="1" customHeight="1" x14ac:dyDescent="0.25">
      <c r="A580" s="6"/>
      <c r="B580" s="33" t="s">
        <v>1352</v>
      </c>
      <c r="C580" s="11" t="s">
        <v>9</v>
      </c>
      <c r="D580" s="62">
        <v>0</v>
      </c>
      <c r="E580" s="62">
        <v>0</v>
      </c>
      <c r="F580" s="62" t="s">
        <v>1500</v>
      </c>
      <c r="G580" s="62"/>
      <c r="H580" s="62"/>
      <c r="I580" s="62"/>
    </row>
    <row r="581" spans="1:9" ht="15" hidden="1" customHeight="1" x14ac:dyDescent="0.25">
      <c r="A581" s="6"/>
      <c r="B581" s="33" t="s">
        <v>1386</v>
      </c>
      <c r="C581" s="11"/>
      <c r="D581" s="8"/>
      <c r="E581" s="8"/>
      <c r="F581" s="8"/>
      <c r="G581" s="8"/>
      <c r="H581" s="8"/>
      <c r="I581" s="8"/>
    </row>
    <row r="582" spans="1:9" ht="15" hidden="1" customHeight="1" x14ac:dyDescent="0.25">
      <c r="A582" s="6"/>
      <c r="B582" s="33" t="s">
        <v>1351</v>
      </c>
      <c r="C582" s="11" t="s">
        <v>9</v>
      </c>
      <c r="D582" s="62">
        <v>0</v>
      </c>
      <c r="E582" s="62">
        <v>0</v>
      </c>
      <c r="F582" s="62" t="s">
        <v>1500</v>
      </c>
      <c r="G582" s="62"/>
      <c r="H582" s="62"/>
      <c r="I582" s="62"/>
    </row>
    <row r="583" spans="1:9" ht="15" hidden="1" customHeight="1" x14ac:dyDescent="0.25">
      <c r="A583" s="6"/>
      <c r="B583" s="33" t="s">
        <v>1352</v>
      </c>
      <c r="C583" s="11" t="s">
        <v>9</v>
      </c>
      <c r="D583" s="62">
        <v>0</v>
      </c>
      <c r="E583" s="62">
        <v>0</v>
      </c>
      <c r="F583" s="62" t="s">
        <v>1500</v>
      </c>
      <c r="G583" s="62"/>
      <c r="H583" s="62"/>
      <c r="I583" s="62"/>
    </row>
    <row r="584" spans="1:9" x14ac:dyDescent="0.25">
      <c r="A584" s="137" t="s">
        <v>876</v>
      </c>
      <c r="B584" s="137"/>
      <c r="C584" s="137"/>
      <c r="D584" s="137"/>
      <c r="E584" s="137"/>
      <c r="F584" s="137"/>
      <c r="G584" s="385"/>
      <c r="H584" s="385"/>
      <c r="I584" s="385"/>
    </row>
    <row r="585" spans="1:9" x14ac:dyDescent="0.25">
      <c r="A585" s="137" t="s">
        <v>877</v>
      </c>
      <c r="B585" s="137"/>
      <c r="C585" s="137"/>
      <c r="D585" s="137"/>
      <c r="E585" s="137"/>
      <c r="F585" s="137"/>
      <c r="G585" s="385"/>
      <c r="H585" s="385"/>
      <c r="I585" s="385"/>
    </row>
    <row r="586" spans="1:9" ht="30" x14ac:dyDescent="0.25">
      <c r="A586" s="9" t="s">
        <v>879</v>
      </c>
      <c r="B586" s="32" t="s">
        <v>878</v>
      </c>
      <c r="C586" s="7"/>
      <c r="D586" s="8"/>
      <c r="E586" s="8"/>
      <c r="F586" s="8"/>
      <c r="G586" s="8"/>
      <c r="H586" s="8"/>
      <c r="I586" s="8"/>
    </row>
    <row r="587" spans="1:9" ht="60" x14ac:dyDescent="0.25">
      <c r="A587" s="6" t="s">
        <v>880</v>
      </c>
      <c r="B587" s="33" t="s">
        <v>1360</v>
      </c>
      <c r="C587" s="6" t="s">
        <v>9</v>
      </c>
      <c r="D587" s="65">
        <v>41.562443356896864</v>
      </c>
      <c r="E587" s="65">
        <v>59.058950784207674</v>
      </c>
      <c r="F587" s="65">
        <f>Дополнительное!H10</f>
        <v>49.97270245677889</v>
      </c>
      <c r="G587" s="65">
        <f>Дополнительное!I10</f>
        <v>62.6</v>
      </c>
      <c r="H587" s="65">
        <f>Дополнительное!J10</f>
        <v>67.400000000000006</v>
      </c>
      <c r="I587" s="65">
        <f>Дополнительное!K10</f>
        <v>100</v>
      </c>
    </row>
    <row r="588" spans="1:9" ht="45" x14ac:dyDescent="0.25">
      <c r="A588" s="9" t="s">
        <v>890</v>
      </c>
      <c r="B588" s="32" t="s">
        <v>891</v>
      </c>
      <c r="C588" s="6"/>
      <c r="D588" s="8"/>
      <c r="E588" s="8"/>
      <c r="F588" s="8"/>
      <c r="G588" s="8"/>
      <c r="H588" s="8"/>
      <c r="I588" s="8"/>
    </row>
    <row r="589" spans="1:9" ht="90" x14ac:dyDescent="0.25">
      <c r="A589" s="6" t="s">
        <v>893</v>
      </c>
      <c r="B589" s="33" t="s">
        <v>892</v>
      </c>
      <c r="C589" s="6"/>
      <c r="D589" s="65"/>
      <c r="E589" s="65"/>
      <c r="F589" s="65"/>
      <c r="G589" s="65"/>
      <c r="H589" s="65"/>
      <c r="I589" s="65"/>
    </row>
    <row r="590" spans="1:9" x14ac:dyDescent="0.25">
      <c r="A590" s="6"/>
      <c r="B590" s="33" t="s">
        <v>1499</v>
      </c>
      <c r="C590" s="6"/>
      <c r="D590" s="65">
        <v>100</v>
      </c>
      <c r="E590" s="65">
        <v>100</v>
      </c>
      <c r="F590" s="65">
        <v>100</v>
      </c>
      <c r="G590" s="65">
        <f>Дополнительное!I35</f>
        <v>100</v>
      </c>
      <c r="H590" s="65">
        <f>Дополнительное!J35</f>
        <v>100</v>
      </c>
      <c r="I590" s="65">
        <f>Дополнительное!K35</f>
        <v>100</v>
      </c>
    </row>
    <row r="591" spans="1:9" x14ac:dyDescent="0.25">
      <c r="A591" s="6"/>
      <c r="B591" s="33" t="s">
        <v>1428</v>
      </c>
      <c r="C591" s="6" t="s">
        <v>9</v>
      </c>
      <c r="D591" s="65">
        <v>100</v>
      </c>
      <c r="E591" s="65">
        <v>100</v>
      </c>
      <c r="F591" s="65">
        <v>100.44843049327355</v>
      </c>
      <c r="G591" s="65">
        <f>Дополнительное!I36</f>
        <v>100</v>
      </c>
      <c r="H591" s="65">
        <f>Дополнительное!J36</f>
        <v>100</v>
      </c>
      <c r="I591" s="65">
        <f>Дополнительное!K36</f>
        <v>100</v>
      </c>
    </row>
    <row r="592" spans="1:9" x14ac:dyDescent="0.25">
      <c r="A592" s="6"/>
      <c r="B592" s="33" t="s">
        <v>1429</v>
      </c>
      <c r="C592" s="6" t="s">
        <v>9</v>
      </c>
      <c r="D592" s="65">
        <v>0</v>
      </c>
      <c r="E592" s="65">
        <v>0</v>
      </c>
      <c r="F592" s="65">
        <v>0</v>
      </c>
      <c r="G592" s="65">
        <f>Дополнительное!I37</f>
        <v>0</v>
      </c>
      <c r="H592" s="65">
        <f>Дополнительное!J37</f>
        <v>0</v>
      </c>
      <c r="I592" s="65">
        <f>Дополнительное!K37</f>
        <v>0</v>
      </c>
    </row>
    <row r="593" spans="1:9" x14ac:dyDescent="0.25">
      <c r="A593" s="6"/>
      <c r="B593" s="33" t="s">
        <v>1430</v>
      </c>
      <c r="C593" s="6" t="s">
        <v>9</v>
      </c>
      <c r="D593" s="65">
        <v>0</v>
      </c>
      <c r="E593" s="65">
        <v>0</v>
      </c>
      <c r="F593" s="65">
        <v>0</v>
      </c>
      <c r="G593" s="65">
        <f>Дополнительное!I38</f>
        <v>0</v>
      </c>
      <c r="H593" s="65">
        <f>Дополнительное!J38</f>
        <v>0</v>
      </c>
      <c r="I593" s="65">
        <f>Дополнительное!K38</f>
        <v>0</v>
      </c>
    </row>
    <row r="594" spans="1:9" x14ac:dyDescent="0.25">
      <c r="A594" s="6"/>
      <c r="B594" s="33" t="s">
        <v>1431</v>
      </c>
      <c r="C594" s="6" t="s">
        <v>9</v>
      </c>
      <c r="D594" s="65">
        <v>0</v>
      </c>
      <c r="E594" s="65">
        <v>0</v>
      </c>
      <c r="F594" s="65">
        <v>0</v>
      </c>
      <c r="G594" s="65">
        <f>Дополнительное!I39</f>
        <v>0</v>
      </c>
      <c r="H594" s="65">
        <f>Дополнительное!J39</f>
        <v>0</v>
      </c>
      <c r="I594" s="65">
        <f>Дополнительное!K39</f>
        <v>0</v>
      </c>
    </row>
    <row r="595" spans="1:9" x14ac:dyDescent="0.25">
      <c r="A595" s="6"/>
      <c r="B595" s="33" t="s">
        <v>1432</v>
      </c>
      <c r="C595" s="6" t="s">
        <v>9</v>
      </c>
      <c r="D595" s="65">
        <v>0</v>
      </c>
      <c r="E595" s="65">
        <v>0</v>
      </c>
      <c r="F595" s="65">
        <v>0</v>
      </c>
      <c r="G595" s="65">
        <f>Дополнительное!I40</f>
        <v>0</v>
      </c>
      <c r="H595" s="65">
        <f>Дополнительное!J40</f>
        <v>0</v>
      </c>
      <c r="I595" s="65">
        <f>Дополнительное!K40</f>
        <v>0</v>
      </c>
    </row>
    <row r="596" spans="1:9" x14ac:dyDescent="0.25">
      <c r="A596" s="6"/>
      <c r="B596" s="33" t="s">
        <v>1433</v>
      </c>
      <c r="C596" s="6" t="s">
        <v>9</v>
      </c>
      <c r="D596" s="65">
        <v>0</v>
      </c>
      <c r="E596" s="65">
        <v>0</v>
      </c>
      <c r="F596" s="65">
        <v>0</v>
      </c>
      <c r="G596" s="65">
        <f>Дополнительное!I41</f>
        <v>0</v>
      </c>
      <c r="H596" s="65">
        <f>Дополнительное!J41</f>
        <v>0</v>
      </c>
      <c r="I596" s="65">
        <f>Дополнительное!K41</f>
        <v>0</v>
      </c>
    </row>
    <row r="597" spans="1:9" x14ac:dyDescent="0.25">
      <c r="A597" s="6"/>
      <c r="B597" s="33" t="s">
        <v>1434</v>
      </c>
      <c r="C597" s="6" t="s">
        <v>9</v>
      </c>
      <c r="D597" s="65">
        <v>0</v>
      </c>
      <c r="E597" s="65">
        <v>0</v>
      </c>
      <c r="F597" s="65">
        <v>0</v>
      </c>
      <c r="G597" s="65">
        <f>Дополнительное!I42</f>
        <v>0</v>
      </c>
      <c r="H597" s="65">
        <f>Дополнительное!J42</f>
        <v>0</v>
      </c>
      <c r="I597" s="65">
        <f>Дополнительное!K42</f>
        <v>0</v>
      </c>
    </row>
    <row r="598" spans="1:9" x14ac:dyDescent="0.25">
      <c r="A598" s="6"/>
      <c r="B598" s="33" t="s">
        <v>1435</v>
      </c>
      <c r="C598" s="6" t="s">
        <v>9</v>
      </c>
      <c r="D598" s="65">
        <v>0</v>
      </c>
      <c r="E598" s="65">
        <v>0</v>
      </c>
      <c r="F598" s="65">
        <v>0</v>
      </c>
      <c r="G598" s="65">
        <f>Дополнительное!I43</f>
        <v>0</v>
      </c>
      <c r="H598" s="65">
        <f>Дополнительное!J43</f>
        <v>0</v>
      </c>
      <c r="I598" s="65">
        <f>Дополнительное!K43</f>
        <v>0</v>
      </c>
    </row>
    <row r="599" spans="1:9" x14ac:dyDescent="0.25">
      <c r="A599" s="11"/>
      <c r="B599" s="20" t="s">
        <v>1497</v>
      </c>
      <c r="C599" s="6" t="s">
        <v>9</v>
      </c>
      <c r="D599" s="105" t="s">
        <v>1500</v>
      </c>
      <c r="E599" s="105">
        <v>0</v>
      </c>
      <c r="F599" s="105">
        <v>0</v>
      </c>
      <c r="G599" s="65">
        <f>Дополнительное!I44</f>
        <v>0</v>
      </c>
      <c r="H599" s="65">
        <f>Дополнительное!J44</f>
        <v>0</v>
      </c>
      <c r="I599" s="65">
        <f>Дополнительное!K44</f>
        <v>0</v>
      </c>
    </row>
    <row r="600" spans="1:9" x14ac:dyDescent="0.25">
      <c r="A600" s="11"/>
      <c r="B600" s="20" t="s">
        <v>1498</v>
      </c>
      <c r="C600" s="6" t="s">
        <v>9</v>
      </c>
      <c r="D600" s="105" t="s">
        <v>1500</v>
      </c>
      <c r="E600" s="105">
        <v>0</v>
      </c>
      <c r="F600" s="105">
        <v>0</v>
      </c>
      <c r="G600" s="65">
        <f>Дополнительное!I45</f>
        <v>0</v>
      </c>
      <c r="H600" s="65">
        <f>Дополнительное!J45</f>
        <v>0</v>
      </c>
      <c r="I600" s="65">
        <f>Дополнительное!K45</f>
        <v>0</v>
      </c>
    </row>
    <row r="601" spans="1:9" ht="60" x14ac:dyDescent="0.25">
      <c r="A601" s="11" t="s">
        <v>1489</v>
      </c>
      <c r="B601" s="64" t="s">
        <v>1491</v>
      </c>
      <c r="C601" s="11" t="s">
        <v>9</v>
      </c>
      <c r="D601" s="105"/>
      <c r="E601" s="105"/>
      <c r="F601" s="105"/>
      <c r="G601" s="105"/>
      <c r="H601" s="105"/>
      <c r="I601" s="105"/>
    </row>
    <row r="602" spans="1:9" ht="60" x14ac:dyDescent="0.25">
      <c r="A602" s="11" t="s">
        <v>1490</v>
      </c>
      <c r="B602" s="64" t="s">
        <v>1492</v>
      </c>
      <c r="C602" s="11" t="s">
        <v>9</v>
      </c>
      <c r="D602" s="105"/>
      <c r="E602" s="105"/>
      <c r="F602" s="105"/>
      <c r="G602" s="105"/>
      <c r="H602" s="105"/>
      <c r="I602" s="105"/>
    </row>
    <row r="603" spans="1:9" ht="45" x14ac:dyDescent="0.25">
      <c r="A603" s="9" t="s">
        <v>918</v>
      </c>
      <c r="B603" s="32" t="s">
        <v>919</v>
      </c>
      <c r="C603" s="7"/>
      <c r="D603" s="8"/>
      <c r="E603" s="8"/>
      <c r="F603" s="8"/>
      <c r="G603" s="8"/>
      <c r="H603" s="8"/>
      <c r="I603" s="8"/>
    </row>
    <row r="604" spans="1:9" ht="60" x14ac:dyDescent="0.25">
      <c r="A604" s="72" t="s">
        <v>921</v>
      </c>
      <c r="B604" s="73" t="s">
        <v>920</v>
      </c>
      <c r="C604" s="72" t="s">
        <v>9</v>
      </c>
      <c r="D604" s="65" t="s">
        <v>1500</v>
      </c>
      <c r="E604" s="65">
        <v>101.34353741496598</v>
      </c>
      <c r="F604" s="65" t="s">
        <v>1500</v>
      </c>
      <c r="G604" s="65"/>
      <c r="H604" s="65"/>
      <c r="I604" s="65"/>
    </row>
    <row r="605" spans="1:9" ht="60" x14ac:dyDescent="0.25">
      <c r="A605" s="9" t="s">
        <v>927</v>
      </c>
      <c r="B605" s="32" t="s">
        <v>928</v>
      </c>
      <c r="C605" s="6"/>
      <c r="D605" s="8"/>
      <c r="E605" s="8"/>
      <c r="F605" s="8"/>
      <c r="G605" s="8"/>
      <c r="H605" s="8"/>
      <c r="I605" s="8"/>
    </row>
    <row r="606" spans="1:9" ht="30" x14ac:dyDescent="0.25">
      <c r="A606" s="6" t="s">
        <v>930</v>
      </c>
      <c r="B606" s="33" t="s">
        <v>929</v>
      </c>
      <c r="C606" s="6" t="s">
        <v>1267</v>
      </c>
      <c r="D606" s="65">
        <v>1.4646551724137931</v>
      </c>
      <c r="E606" s="65">
        <v>1.5237668161434978</v>
      </c>
      <c r="F606" s="65">
        <v>1.3933035714285715</v>
      </c>
      <c r="G606" s="65">
        <f>Дополнительное!I72</f>
        <v>1.33</v>
      </c>
      <c r="H606" s="65">
        <f>Дополнительное!J72</f>
        <v>1.26</v>
      </c>
      <c r="I606" s="65">
        <f>Дополнительное!K72</f>
        <v>1.2085168869309839</v>
      </c>
    </row>
    <row r="607" spans="1:9" ht="45" x14ac:dyDescent="0.25">
      <c r="A607" s="6" t="s">
        <v>933</v>
      </c>
      <c r="B607" s="33" t="s">
        <v>934</v>
      </c>
      <c r="C607" s="6"/>
      <c r="D607" s="8"/>
      <c r="E607" s="8"/>
      <c r="F607" s="8"/>
      <c r="G607" s="8"/>
      <c r="H607" s="8"/>
      <c r="I607" s="8"/>
    </row>
    <row r="608" spans="1:9" x14ac:dyDescent="0.25">
      <c r="A608" s="6"/>
      <c r="B608" s="33" t="s">
        <v>1427</v>
      </c>
      <c r="C608" s="6" t="s">
        <v>9</v>
      </c>
      <c r="D608" s="65">
        <v>100</v>
      </c>
      <c r="E608" s="65">
        <v>100</v>
      </c>
      <c r="F608" s="65">
        <v>100</v>
      </c>
      <c r="G608" s="65">
        <v>100</v>
      </c>
      <c r="H608" s="65">
        <v>100</v>
      </c>
      <c r="I608" s="65">
        <v>100</v>
      </c>
    </row>
    <row r="609" spans="1:9" x14ac:dyDescent="0.25">
      <c r="A609" s="6"/>
      <c r="B609" s="33" t="s">
        <v>1349</v>
      </c>
      <c r="C609" s="6" t="s">
        <v>9</v>
      </c>
      <c r="D609" s="65">
        <v>100</v>
      </c>
      <c r="E609" s="65">
        <v>100</v>
      </c>
      <c r="F609" s="65">
        <v>100</v>
      </c>
      <c r="G609" s="65">
        <v>100</v>
      </c>
      <c r="H609" s="65">
        <v>100</v>
      </c>
      <c r="I609" s="65">
        <v>100</v>
      </c>
    </row>
    <row r="610" spans="1:9" x14ac:dyDescent="0.25">
      <c r="A610" s="6"/>
      <c r="B610" s="33" t="s">
        <v>1350</v>
      </c>
      <c r="C610" s="6" t="s">
        <v>9</v>
      </c>
      <c r="D610" s="65">
        <v>100</v>
      </c>
      <c r="E610" s="65">
        <v>100</v>
      </c>
      <c r="F610" s="65">
        <v>100</v>
      </c>
      <c r="G610" s="65">
        <v>100</v>
      </c>
      <c r="H610" s="65">
        <v>100</v>
      </c>
      <c r="I610" s="65">
        <v>100</v>
      </c>
    </row>
    <row r="611" spans="1:9" ht="30" x14ac:dyDescent="0.25">
      <c r="A611" s="6" t="s">
        <v>939</v>
      </c>
      <c r="B611" s="33" t="s">
        <v>940</v>
      </c>
      <c r="C611" s="6"/>
      <c r="D611" s="8"/>
      <c r="E611" s="8"/>
      <c r="F611" s="8"/>
      <c r="G611" s="8"/>
      <c r="H611" s="8"/>
      <c r="I611" s="8"/>
    </row>
    <row r="612" spans="1:9" x14ac:dyDescent="0.25">
      <c r="A612" s="22"/>
      <c r="B612" s="33" t="s">
        <v>1355</v>
      </c>
      <c r="C612" s="6" t="s">
        <v>1268</v>
      </c>
      <c r="D612" s="65">
        <v>1.3793103448275863</v>
      </c>
      <c r="E612" s="65">
        <v>1.2556053811659191</v>
      </c>
      <c r="F612" s="65">
        <v>1.6517857142857144</v>
      </c>
      <c r="G612" s="65">
        <f>Дополнительное!I89</f>
        <v>1.49</v>
      </c>
      <c r="H612" s="65">
        <f>Дополнительное!J89</f>
        <v>0.93</v>
      </c>
      <c r="I612" s="65">
        <f>Дополнительное!K89</f>
        <v>1.0279001468428781</v>
      </c>
    </row>
    <row r="613" spans="1:9" x14ac:dyDescent="0.25">
      <c r="A613" s="22"/>
      <c r="B613" s="33" t="s">
        <v>1356</v>
      </c>
      <c r="C613" s="6" t="s">
        <v>1268</v>
      </c>
      <c r="D613" s="65">
        <v>0.43103448275862066</v>
      </c>
      <c r="E613" s="65">
        <v>0.44843049327354262</v>
      </c>
      <c r="F613" s="65">
        <v>4.4642857142857144E-2</v>
      </c>
      <c r="G613" s="65">
        <f>Дополнительное!I90</f>
        <v>0.43</v>
      </c>
      <c r="H613" s="65">
        <f>Дополнительное!J90</f>
        <v>0.36</v>
      </c>
      <c r="I613" s="65">
        <f>Дополнительное!K90</f>
        <v>0.48947626040137049</v>
      </c>
    </row>
    <row r="614" spans="1:9" ht="60" x14ac:dyDescent="0.25">
      <c r="A614" s="9" t="s">
        <v>944</v>
      </c>
      <c r="B614" s="32" t="s">
        <v>943</v>
      </c>
      <c r="C614" s="7"/>
      <c r="D614" s="8"/>
      <c r="E614" s="8"/>
      <c r="F614" s="8"/>
      <c r="G614" s="8"/>
      <c r="H614" s="8"/>
      <c r="I614" s="8"/>
    </row>
    <row r="615" spans="1:9" ht="30" x14ac:dyDescent="0.25">
      <c r="A615" s="6" t="s">
        <v>946</v>
      </c>
      <c r="B615" s="33" t="s">
        <v>945</v>
      </c>
      <c r="C615" s="6" t="s">
        <v>9</v>
      </c>
      <c r="D615" s="65">
        <v>100</v>
      </c>
      <c r="E615" s="65">
        <v>100</v>
      </c>
      <c r="F615" s="65">
        <v>100</v>
      </c>
      <c r="G615" s="65">
        <v>100</v>
      </c>
      <c r="H615" s="65">
        <v>100</v>
      </c>
      <c r="I615" s="65">
        <v>100</v>
      </c>
    </row>
    <row r="616" spans="1:9" x14ac:dyDescent="0.25">
      <c r="A616" s="6"/>
      <c r="B616" s="33" t="s">
        <v>1353</v>
      </c>
      <c r="C616" s="6" t="s">
        <v>9</v>
      </c>
      <c r="D616" s="65">
        <v>100</v>
      </c>
      <c r="E616" s="65">
        <v>100</v>
      </c>
      <c r="F616" s="65">
        <v>100</v>
      </c>
      <c r="G616" s="65">
        <v>100</v>
      </c>
      <c r="H616" s="65">
        <v>100</v>
      </c>
      <c r="I616" s="65">
        <v>100</v>
      </c>
    </row>
    <row r="617" spans="1:9" x14ac:dyDescent="0.25">
      <c r="A617" s="6"/>
      <c r="B617" s="33" t="s">
        <v>1354</v>
      </c>
      <c r="C617" s="6" t="s">
        <v>9</v>
      </c>
      <c r="D617" s="65">
        <v>100</v>
      </c>
      <c r="E617" s="65">
        <v>100</v>
      </c>
      <c r="F617" s="65">
        <v>100</v>
      </c>
      <c r="G617" s="65">
        <v>100</v>
      </c>
      <c r="H617" s="65">
        <v>100</v>
      </c>
      <c r="I617" s="65">
        <v>100</v>
      </c>
    </row>
    <row r="618" spans="1:9" ht="45" x14ac:dyDescent="0.25">
      <c r="A618" s="9" t="s">
        <v>957</v>
      </c>
      <c r="B618" s="32" t="s">
        <v>958</v>
      </c>
      <c r="C618" s="7"/>
      <c r="D618" s="8"/>
      <c r="E618" s="8"/>
      <c r="F618" s="8"/>
      <c r="G618" s="8"/>
      <c r="H618" s="8"/>
      <c r="I618" s="8"/>
    </row>
    <row r="619" spans="1:9" ht="45" x14ac:dyDescent="0.25">
      <c r="A619" s="6" t="s">
        <v>960</v>
      </c>
      <c r="B619" s="33" t="s">
        <v>959</v>
      </c>
      <c r="C619" s="6" t="s">
        <v>1270</v>
      </c>
      <c r="D619" s="65">
        <v>21.853017241379309</v>
      </c>
      <c r="E619" s="65">
        <v>26.671748878923768</v>
      </c>
      <c r="F619" s="65">
        <v>31.881250000000001</v>
      </c>
      <c r="G619" s="65">
        <f>Дополнительное!I109</f>
        <v>29.018803418803419</v>
      </c>
      <c r="H619" s="65">
        <f>Дополнительное!J109</f>
        <v>24.600728155339805</v>
      </c>
      <c r="I619" s="65">
        <f>Дополнительное!K109</f>
        <v>31.20753793441018</v>
      </c>
    </row>
    <row r="620" spans="1:9" ht="45" x14ac:dyDescent="0.25">
      <c r="A620" s="6" t="s">
        <v>1331</v>
      </c>
      <c r="B620" s="33" t="s">
        <v>962</v>
      </c>
      <c r="C620" s="6" t="s">
        <v>9</v>
      </c>
      <c r="D620" s="65">
        <v>0.1913252726878242</v>
      </c>
      <c r="E620" s="65">
        <v>0.19334880123743234</v>
      </c>
      <c r="F620" s="65">
        <v>0.13442742319433165</v>
      </c>
      <c r="G620" s="65">
        <f>Дополнительное!I112</f>
        <v>0</v>
      </c>
      <c r="H620" s="65">
        <f>Дополнительное!J112</f>
        <v>6.2749741009323667</v>
      </c>
      <c r="I620" s="65">
        <f>Дополнительное!K112</f>
        <v>17.939990902959675</v>
      </c>
    </row>
    <row r="621" spans="1:9" ht="45" x14ac:dyDescent="0.25">
      <c r="A621" s="9" t="s">
        <v>965</v>
      </c>
      <c r="B621" s="32" t="s">
        <v>964</v>
      </c>
      <c r="C621" s="7"/>
      <c r="D621" s="8"/>
      <c r="E621" s="8"/>
      <c r="F621" s="8"/>
      <c r="G621" s="8"/>
      <c r="H621" s="8"/>
      <c r="I621" s="8"/>
    </row>
    <row r="622" spans="1:9" ht="30" x14ac:dyDescent="0.25">
      <c r="A622" s="6" t="s">
        <v>966</v>
      </c>
      <c r="B622" s="33" t="s">
        <v>967</v>
      </c>
      <c r="C622" s="11" t="s">
        <v>9</v>
      </c>
      <c r="D622" s="65">
        <v>0</v>
      </c>
      <c r="E622" s="65">
        <v>0</v>
      </c>
      <c r="F622" s="65">
        <v>0</v>
      </c>
      <c r="G622" s="65">
        <v>0</v>
      </c>
      <c r="H622" s="65">
        <v>0</v>
      </c>
      <c r="I622" s="65">
        <v>0</v>
      </c>
    </row>
    <row r="623" spans="1:9" ht="45" x14ac:dyDescent="0.25">
      <c r="A623" s="9" t="s">
        <v>971</v>
      </c>
      <c r="B623" s="32" t="s">
        <v>970</v>
      </c>
      <c r="C623" s="7"/>
      <c r="D623" s="8"/>
      <c r="E623" s="8"/>
      <c r="F623" s="8"/>
      <c r="G623" s="8"/>
      <c r="H623" s="8"/>
      <c r="I623" s="8"/>
    </row>
    <row r="624" spans="1:9" ht="30" x14ac:dyDescent="0.25">
      <c r="A624" s="6" t="s">
        <v>973</v>
      </c>
      <c r="B624" s="33" t="s">
        <v>972</v>
      </c>
      <c r="C624" s="11" t="s">
        <v>9</v>
      </c>
      <c r="D624" s="65">
        <v>50</v>
      </c>
      <c r="E624" s="65">
        <v>50</v>
      </c>
      <c r="F624" s="65">
        <v>50</v>
      </c>
      <c r="G624" s="65">
        <v>67</v>
      </c>
      <c r="H624" s="65">
        <v>67</v>
      </c>
      <c r="I624" s="65">
        <v>67</v>
      </c>
    </row>
    <row r="625" spans="1:9" ht="30" x14ac:dyDescent="0.25">
      <c r="A625" s="6" t="s">
        <v>974</v>
      </c>
      <c r="B625" s="33" t="s">
        <v>975</v>
      </c>
      <c r="C625" s="11" t="s">
        <v>9</v>
      </c>
      <c r="D625" s="65">
        <v>100</v>
      </c>
      <c r="E625" s="65">
        <v>100</v>
      </c>
      <c r="F625" s="65">
        <v>100</v>
      </c>
      <c r="G625" s="65">
        <v>100</v>
      </c>
      <c r="H625" s="65">
        <v>100</v>
      </c>
      <c r="I625" s="65">
        <v>100</v>
      </c>
    </row>
    <row r="626" spans="1:9" ht="45" x14ac:dyDescent="0.25">
      <c r="A626" s="6" t="s">
        <v>976</v>
      </c>
      <c r="B626" s="33" t="s">
        <v>977</v>
      </c>
      <c r="C626" s="11" t="s">
        <v>9</v>
      </c>
      <c r="D626" s="65">
        <v>0</v>
      </c>
      <c r="E626" s="65">
        <v>0</v>
      </c>
      <c r="F626" s="65">
        <v>0</v>
      </c>
      <c r="G626" s="65">
        <v>0</v>
      </c>
      <c r="H626" s="65">
        <v>0</v>
      </c>
      <c r="I626" s="65">
        <v>0</v>
      </c>
    </row>
    <row r="627" spans="1:9" ht="45" x14ac:dyDescent="0.25">
      <c r="A627" s="6" t="s">
        <v>979</v>
      </c>
      <c r="B627" s="33" t="s">
        <v>980</v>
      </c>
      <c r="C627" s="11" t="s">
        <v>9</v>
      </c>
      <c r="D627" s="65">
        <v>25</v>
      </c>
      <c r="E627" s="65">
        <v>25</v>
      </c>
      <c r="F627" s="65">
        <v>25</v>
      </c>
      <c r="G627" s="65">
        <f>Дополнительное!I123</f>
        <v>25</v>
      </c>
      <c r="H627" s="65">
        <f>Дополнительное!J123</f>
        <v>25</v>
      </c>
      <c r="I627" s="65">
        <f>Дополнительное!K123</f>
        <v>33.333333333333329</v>
      </c>
    </row>
    <row r="628" spans="1:9" ht="30" x14ac:dyDescent="0.25">
      <c r="A628" s="99" t="s">
        <v>983</v>
      </c>
      <c r="B628" s="100" t="s">
        <v>982</v>
      </c>
      <c r="C628" s="88"/>
      <c r="D628" s="111"/>
      <c r="E628" s="111"/>
      <c r="F628" s="111"/>
      <c r="G628" s="111"/>
      <c r="H628" s="111"/>
      <c r="I628" s="111"/>
    </row>
    <row r="629" spans="1:9" ht="90" x14ac:dyDescent="0.25">
      <c r="A629" s="11" t="s">
        <v>984</v>
      </c>
      <c r="B629" s="64" t="s">
        <v>1297</v>
      </c>
      <c r="C629" s="11"/>
      <c r="D629" s="111"/>
      <c r="E629" s="111"/>
      <c r="F629" s="111"/>
      <c r="G629" s="111"/>
      <c r="H629" s="111"/>
      <c r="I629" s="111"/>
    </row>
    <row r="630" spans="1:9" x14ac:dyDescent="0.25">
      <c r="A630" s="11"/>
      <c r="B630" s="64" t="s">
        <v>1361</v>
      </c>
      <c r="C630" s="11" t="s">
        <v>9</v>
      </c>
      <c r="D630" s="111"/>
      <c r="E630" s="111"/>
      <c r="F630" s="111"/>
      <c r="G630" s="111"/>
      <c r="H630" s="111"/>
      <c r="I630" s="111"/>
    </row>
    <row r="631" spans="1:9" x14ac:dyDescent="0.25">
      <c r="A631" s="11"/>
      <c r="B631" s="64" t="s">
        <v>1362</v>
      </c>
      <c r="C631" s="11" t="s">
        <v>9</v>
      </c>
      <c r="D631" s="111"/>
      <c r="E631" s="111"/>
      <c r="F631" s="111"/>
      <c r="G631" s="111"/>
      <c r="H631" s="111"/>
      <c r="I631" s="111"/>
    </row>
    <row r="632" spans="1:9" ht="30" x14ac:dyDescent="0.25">
      <c r="A632" s="11"/>
      <c r="B632" s="64" t="s">
        <v>1363</v>
      </c>
      <c r="C632" s="11" t="s">
        <v>9</v>
      </c>
      <c r="D632" s="111"/>
      <c r="E632" s="111"/>
      <c r="F632" s="111"/>
      <c r="G632" s="111"/>
      <c r="H632" s="111"/>
      <c r="I632" s="111"/>
    </row>
    <row r="633" spans="1:9" x14ac:dyDescent="0.25">
      <c r="A633" s="11"/>
      <c r="B633" s="64" t="s">
        <v>1364</v>
      </c>
      <c r="C633" s="11" t="s">
        <v>9</v>
      </c>
      <c r="D633" s="111"/>
      <c r="E633" s="111"/>
      <c r="F633" s="111"/>
      <c r="G633" s="111"/>
      <c r="H633" s="111"/>
      <c r="I633" s="111"/>
    </row>
    <row r="634" spans="1:9" ht="15" hidden="1" customHeight="1" x14ac:dyDescent="0.25">
      <c r="A634" s="137" t="s">
        <v>985</v>
      </c>
      <c r="B634" s="137"/>
      <c r="C634" s="137"/>
      <c r="D634" s="137"/>
      <c r="E634" s="137"/>
      <c r="F634" s="137"/>
      <c r="G634" s="385"/>
      <c r="H634" s="385"/>
      <c r="I634" s="385"/>
    </row>
    <row r="635" spans="1:9" ht="30" hidden="1" customHeight="1" x14ac:dyDescent="0.25">
      <c r="A635" s="9" t="s">
        <v>987</v>
      </c>
      <c r="B635" s="32" t="s">
        <v>986</v>
      </c>
      <c r="C635" s="7"/>
      <c r="D635" s="8"/>
      <c r="E635" s="8"/>
      <c r="F635" s="8"/>
      <c r="G635" s="8"/>
      <c r="H635" s="8"/>
      <c r="I635" s="8"/>
    </row>
    <row r="636" spans="1:9" ht="60" hidden="1" customHeight="1" x14ac:dyDescent="0.25">
      <c r="A636" s="11" t="s">
        <v>991</v>
      </c>
      <c r="B636" s="64" t="s">
        <v>1398</v>
      </c>
      <c r="C636" s="11" t="s">
        <v>9</v>
      </c>
      <c r="D636" s="111"/>
      <c r="E636" s="111"/>
      <c r="F636" s="111"/>
      <c r="G636" s="111"/>
      <c r="H636" s="111"/>
      <c r="I636" s="111"/>
    </row>
    <row r="637" spans="1:9" ht="75" hidden="1" customHeight="1" x14ac:dyDescent="0.25">
      <c r="A637" s="11" t="s">
        <v>992</v>
      </c>
      <c r="B637" s="80" t="s">
        <v>1582</v>
      </c>
      <c r="C637" s="11" t="s">
        <v>9</v>
      </c>
      <c r="D637" s="111" t="s">
        <v>1500</v>
      </c>
      <c r="E637" s="111" t="s">
        <v>1500</v>
      </c>
      <c r="F637" s="111" t="s">
        <v>1500</v>
      </c>
      <c r="G637" s="111"/>
      <c r="H637" s="111"/>
      <c r="I637" s="111"/>
    </row>
    <row r="638" spans="1:9" ht="45" hidden="1" customHeight="1" x14ac:dyDescent="0.25">
      <c r="A638" s="72" t="s">
        <v>1002</v>
      </c>
      <c r="B638" s="73" t="s">
        <v>1003</v>
      </c>
      <c r="C638" s="72" t="s">
        <v>9</v>
      </c>
      <c r="D638" s="65">
        <v>18.897240602760178</v>
      </c>
      <c r="E638" s="65">
        <v>18.897240602760178</v>
      </c>
      <c r="F638" s="65" t="s">
        <v>1500</v>
      </c>
      <c r="G638" s="65"/>
      <c r="H638" s="65"/>
      <c r="I638" s="65"/>
    </row>
    <row r="639" spans="1:9" ht="30" hidden="1" customHeight="1" x14ac:dyDescent="0.25">
      <c r="A639" s="9" t="s">
        <v>1008</v>
      </c>
      <c r="B639" s="32" t="s">
        <v>1009</v>
      </c>
      <c r="C639" s="6"/>
      <c r="D639" s="8"/>
      <c r="E639" s="8"/>
      <c r="F639" s="8"/>
      <c r="G639" s="8"/>
      <c r="H639" s="8"/>
      <c r="I639" s="8"/>
    </row>
    <row r="640" spans="1:9" ht="60" hidden="1" customHeight="1" x14ac:dyDescent="0.25">
      <c r="A640" s="72" t="s">
        <v>1011</v>
      </c>
      <c r="B640" s="73" t="s">
        <v>1010</v>
      </c>
      <c r="C640" s="72" t="s">
        <v>9</v>
      </c>
      <c r="D640" s="65">
        <v>3.3354544928638132</v>
      </c>
      <c r="E640" s="65">
        <v>3.3354544928638132</v>
      </c>
      <c r="F640" s="65" t="s">
        <v>1500</v>
      </c>
      <c r="G640" s="65"/>
      <c r="H640" s="65"/>
      <c r="I640" s="65"/>
    </row>
    <row r="641" spans="1:9" ht="45" hidden="1" customHeight="1" x14ac:dyDescent="0.25">
      <c r="A641" s="9" t="s">
        <v>1015</v>
      </c>
      <c r="B641" s="32" t="s">
        <v>1016</v>
      </c>
      <c r="C641" s="7"/>
      <c r="D641" s="8"/>
      <c r="E641" s="8"/>
      <c r="F641" s="8"/>
      <c r="G641" s="8"/>
      <c r="H641" s="8"/>
      <c r="I641" s="8"/>
    </row>
    <row r="642" spans="1:9" ht="75" hidden="1" customHeight="1" x14ac:dyDescent="0.25">
      <c r="A642" s="11" t="s">
        <v>1017</v>
      </c>
      <c r="B642" s="64" t="s">
        <v>1018</v>
      </c>
      <c r="C642" s="11"/>
      <c r="D642" s="111"/>
      <c r="E642" s="111"/>
      <c r="F642" s="111"/>
      <c r="G642" s="111"/>
      <c r="H642" s="111"/>
      <c r="I642" s="111"/>
    </row>
    <row r="643" spans="1:9" ht="15" hidden="1" customHeight="1" x14ac:dyDescent="0.25">
      <c r="A643" s="11"/>
      <c r="B643" s="64" t="s">
        <v>1399</v>
      </c>
      <c r="C643" s="11" t="s">
        <v>9</v>
      </c>
      <c r="D643" s="111"/>
      <c r="E643" s="111"/>
      <c r="F643" s="111"/>
      <c r="G643" s="111"/>
      <c r="H643" s="111"/>
      <c r="I643" s="111"/>
    </row>
    <row r="644" spans="1:9" ht="15" hidden="1" customHeight="1" x14ac:dyDescent="0.25">
      <c r="A644" s="11"/>
      <c r="B644" s="64" t="s">
        <v>1400</v>
      </c>
      <c r="C644" s="11" t="s">
        <v>9</v>
      </c>
      <c r="D644" s="111"/>
      <c r="E644" s="111"/>
      <c r="F644" s="111"/>
      <c r="G644" s="111"/>
      <c r="H644" s="111"/>
      <c r="I644" s="111"/>
    </row>
    <row r="645" spans="1:9" ht="60" hidden="1" customHeight="1" x14ac:dyDescent="0.25">
      <c r="A645" s="99" t="s">
        <v>1022</v>
      </c>
      <c r="B645" s="100" t="s">
        <v>1023</v>
      </c>
      <c r="C645" s="11"/>
      <c r="D645" s="111"/>
      <c r="E645" s="111"/>
      <c r="F645" s="111"/>
      <c r="G645" s="111"/>
      <c r="H645" s="111"/>
      <c r="I645" s="111"/>
    </row>
    <row r="646" spans="1:9" ht="60" hidden="1" customHeight="1" x14ac:dyDescent="0.25">
      <c r="A646" s="11" t="s">
        <v>1025</v>
      </c>
      <c r="B646" s="64" t="s">
        <v>1401</v>
      </c>
      <c r="C646" s="11" t="s">
        <v>9</v>
      </c>
      <c r="D646" s="111"/>
      <c r="E646" s="111"/>
      <c r="F646" s="111"/>
      <c r="G646" s="111"/>
      <c r="H646" s="111"/>
      <c r="I646" s="111"/>
    </row>
    <row r="647" spans="1:9" ht="45" hidden="1" customHeight="1" x14ac:dyDescent="0.25">
      <c r="A647" s="11" t="s">
        <v>1030</v>
      </c>
      <c r="B647" s="64" t="s">
        <v>1029</v>
      </c>
      <c r="C647" s="11"/>
      <c r="D647" s="111"/>
      <c r="E647" s="111"/>
      <c r="F647" s="111"/>
      <c r="G647" s="111"/>
      <c r="H647" s="111"/>
      <c r="I647" s="111"/>
    </row>
    <row r="648" spans="1:9" ht="15" hidden="1" customHeight="1" x14ac:dyDescent="0.25">
      <c r="A648" s="11"/>
      <c r="B648" s="64" t="s">
        <v>1402</v>
      </c>
      <c r="C648" s="11" t="s">
        <v>1268</v>
      </c>
      <c r="D648" s="111"/>
      <c r="E648" s="111"/>
      <c r="F648" s="111"/>
      <c r="G648" s="111"/>
      <c r="H648" s="111"/>
      <c r="I648" s="111"/>
    </row>
    <row r="649" spans="1:9" ht="15" hidden="1" customHeight="1" x14ac:dyDescent="0.25">
      <c r="A649" s="11"/>
      <c r="B649" s="64" t="s">
        <v>1403</v>
      </c>
      <c r="C649" s="11" t="s">
        <v>1268</v>
      </c>
      <c r="D649" s="111"/>
      <c r="E649" s="111"/>
      <c r="F649" s="111"/>
      <c r="G649" s="111"/>
      <c r="H649" s="111"/>
      <c r="I649" s="111"/>
    </row>
    <row r="650" spans="1:9" ht="60" hidden="1" customHeight="1" x14ac:dyDescent="0.25">
      <c r="A650" s="99" t="s">
        <v>1034</v>
      </c>
      <c r="B650" s="100" t="s">
        <v>1035</v>
      </c>
      <c r="C650" s="88"/>
      <c r="D650" s="111"/>
      <c r="E650" s="111"/>
      <c r="F650" s="111"/>
      <c r="G650" s="111"/>
      <c r="H650" s="111"/>
      <c r="I650" s="111"/>
    </row>
    <row r="651" spans="1:9" ht="75" hidden="1" customHeight="1" x14ac:dyDescent="0.25">
      <c r="A651" s="11" t="s">
        <v>1037</v>
      </c>
      <c r="B651" s="64" t="s">
        <v>1036</v>
      </c>
      <c r="C651" s="11"/>
      <c r="D651" s="111"/>
      <c r="E651" s="111"/>
      <c r="F651" s="111"/>
      <c r="G651" s="111"/>
      <c r="H651" s="111"/>
      <c r="I651" s="111"/>
    </row>
    <row r="652" spans="1:9" ht="15" hidden="1" customHeight="1" x14ac:dyDescent="0.25">
      <c r="A652" s="11"/>
      <c r="B652" s="64" t="s">
        <v>1404</v>
      </c>
      <c r="C652" s="11" t="s">
        <v>9</v>
      </c>
      <c r="D652" s="111"/>
      <c r="E652" s="111"/>
      <c r="F652" s="111"/>
      <c r="G652" s="111"/>
      <c r="H652" s="111"/>
      <c r="I652" s="111"/>
    </row>
    <row r="653" spans="1:9" ht="15" hidden="1" customHeight="1" x14ac:dyDescent="0.25">
      <c r="A653" s="11"/>
      <c r="B653" s="64" t="s">
        <v>1405</v>
      </c>
      <c r="C653" s="11" t="s">
        <v>9</v>
      </c>
      <c r="D653" s="111"/>
      <c r="E653" s="111"/>
      <c r="F653" s="111"/>
      <c r="G653" s="111"/>
      <c r="H653" s="111"/>
      <c r="I653" s="111"/>
    </row>
    <row r="654" spans="1:9" ht="15" hidden="1" customHeight="1" x14ac:dyDescent="0.25">
      <c r="A654" s="11"/>
      <c r="B654" s="64" t="s">
        <v>1406</v>
      </c>
      <c r="C654" s="11" t="s">
        <v>9</v>
      </c>
      <c r="D654" s="111"/>
      <c r="E654" s="111"/>
      <c r="F654" s="111"/>
      <c r="G654" s="111"/>
      <c r="H654" s="111"/>
      <c r="I654" s="111"/>
    </row>
    <row r="655" spans="1:9" ht="30" hidden="1" customHeight="1" x14ac:dyDescent="0.25">
      <c r="A655" s="99" t="s">
        <v>1045</v>
      </c>
      <c r="B655" s="100" t="s">
        <v>1046</v>
      </c>
      <c r="C655" s="88"/>
      <c r="D655" s="111"/>
      <c r="E655" s="111"/>
      <c r="F655" s="111"/>
      <c r="G655" s="111"/>
      <c r="H655" s="111"/>
      <c r="I655" s="111"/>
    </row>
    <row r="656" spans="1:9" ht="45" hidden="1" customHeight="1" x14ac:dyDescent="0.25">
      <c r="A656" s="11" t="s">
        <v>1048</v>
      </c>
      <c r="B656" s="64" t="s">
        <v>1407</v>
      </c>
      <c r="C656" s="11" t="s">
        <v>9</v>
      </c>
      <c r="D656" s="111"/>
      <c r="E656" s="111"/>
      <c r="F656" s="111"/>
      <c r="G656" s="111"/>
      <c r="H656" s="111"/>
      <c r="I656" s="111"/>
    </row>
    <row r="657" spans="1:9" ht="45" hidden="1" customHeight="1" x14ac:dyDescent="0.25">
      <c r="A657" s="99" t="s">
        <v>1051</v>
      </c>
      <c r="B657" s="100" t="s">
        <v>1052</v>
      </c>
      <c r="C657" s="88"/>
      <c r="D657" s="111"/>
      <c r="E657" s="111"/>
      <c r="F657" s="111"/>
      <c r="G657" s="111"/>
      <c r="H657" s="111"/>
      <c r="I657" s="111"/>
    </row>
    <row r="658" spans="1:9" ht="45" hidden="1" customHeight="1" x14ac:dyDescent="0.25">
      <c r="A658" s="11" t="s">
        <v>1054</v>
      </c>
      <c r="B658" s="64" t="s">
        <v>1408</v>
      </c>
      <c r="C658" s="11" t="s">
        <v>9</v>
      </c>
      <c r="D658" s="111"/>
      <c r="E658" s="111"/>
      <c r="F658" s="111"/>
      <c r="G658" s="111"/>
      <c r="H658" s="111"/>
      <c r="I658" s="111"/>
    </row>
    <row r="659" spans="1:9" ht="45" hidden="1" customHeight="1" x14ac:dyDescent="0.25">
      <c r="A659" s="99" t="s">
        <v>1057</v>
      </c>
      <c r="B659" s="100" t="s">
        <v>1058</v>
      </c>
      <c r="C659" s="88"/>
      <c r="D659" s="111"/>
      <c r="E659" s="111"/>
      <c r="F659" s="111"/>
      <c r="G659" s="111"/>
      <c r="H659" s="111"/>
      <c r="I659" s="111"/>
    </row>
    <row r="660" spans="1:9" ht="45" hidden="1" customHeight="1" x14ac:dyDescent="0.25">
      <c r="A660" s="11" t="s">
        <v>1059</v>
      </c>
      <c r="B660" s="64" t="s">
        <v>1302</v>
      </c>
      <c r="C660" s="11"/>
      <c r="D660" s="111"/>
      <c r="E660" s="111"/>
      <c r="F660" s="111"/>
      <c r="G660" s="111"/>
      <c r="H660" s="111"/>
      <c r="I660" s="111"/>
    </row>
    <row r="661" spans="1:9" ht="15" hidden="1" customHeight="1" x14ac:dyDescent="0.25">
      <c r="A661" s="88"/>
      <c r="B661" s="64" t="s">
        <v>1409</v>
      </c>
      <c r="C661" s="11" t="s">
        <v>9</v>
      </c>
      <c r="D661" s="111"/>
      <c r="E661" s="111"/>
      <c r="F661" s="111"/>
      <c r="G661" s="111"/>
      <c r="H661" s="111"/>
      <c r="I661" s="111"/>
    </row>
    <row r="662" spans="1:9" ht="15" hidden="1" customHeight="1" x14ac:dyDescent="0.25">
      <c r="A662" s="88"/>
      <c r="B662" s="64" t="s">
        <v>1410</v>
      </c>
      <c r="C662" s="11" t="s">
        <v>9</v>
      </c>
      <c r="D662" s="111"/>
      <c r="E662" s="111"/>
      <c r="F662" s="111"/>
      <c r="G662" s="111"/>
      <c r="H662" s="111"/>
      <c r="I662" s="111"/>
    </row>
    <row r="663" spans="1:9" ht="30" hidden="1" customHeight="1" x14ac:dyDescent="0.25">
      <c r="A663" s="99" t="s">
        <v>1064</v>
      </c>
      <c r="B663" s="100" t="s">
        <v>1065</v>
      </c>
      <c r="C663" s="88"/>
      <c r="D663" s="111"/>
      <c r="E663" s="111"/>
      <c r="F663" s="111"/>
      <c r="G663" s="111"/>
      <c r="H663" s="111"/>
      <c r="I663" s="111"/>
    </row>
    <row r="664" spans="1:9" ht="60" hidden="1" customHeight="1" x14ac:dyDescent="0.25">
      <c r="A664" s="11" t="s">
        <v>1067</v>
      </c>
      <c r="B664" s="64" t="s">
        <v>1411</v>
      </c>
      <c r="C664" s="11" t="s">
        <v>9</v>
      </c>
      <c r="D664" s="111"/>
      <c r="E664" s="111"/>
      <c r="F664" s="111"/>
      <c r="G664" s="111"/>
      <c r="H664" s="111"/>
      <c r="I664" s="111"/>
    </row>
    <row r="665" spans="1:9" ht="15" hidden="1" customHeight="1" x14ac:dyDescent="0.25">
      <c r="A665" s="137" t="s">
        <v>1070</v>
      </c>
      <c r="B665" s="137"/>
      <c r="C665" s="137"/>
      <c r="D665" s="137"/>
      <c r="E665" s="137"/>
      <c r="F665" s="137"/>
      <c r="G665" s="385"/>
      <c r="H665" s="385"/>
      <c r="I665" s="385"/>
    </row>
    <row r="666" spans="1:9" ht="15" hidden="1" customHeight="1" x14ac:dyDescent="0.25">
      <c r="A666" s="137" t="s">
        <v>1071</v>
      </c>
      <c r="B666" s="137"/>
      <c r="C666" s="137"/>
      <c r="D666" s="137"/>
      <c r="E666" s="137"/>
      <c r="F666" s="137"/>
      <c r="G666" s="385"/>
      <c r="H666" s="385"/>
      <c r="I666" s="385"/>
    </row>
    <row r="667" spans="1:9" ht="30" hidden="1" customHeight="1" x14ac:dyDescent="0.25">
      <c r="A667" s="9" t="s">
        <v>1072</v>
      </c>
      <c r="B667" s="32" t="s">
        <v>1145</v>
      </c>
      <c r="C667" s="7"/>
      <c r="D667" s="8"/>
      <c r="E667" s="8"/>
      <c r="F667" s="8"/>
      <c r="G667" s="8"/>
      <c r="H667" s="8"/>
      <c r="I667" s="8"/>
    </row>
    <row r="668" spans="1:9" ht="75" hidden="1" customHeight="1" x14ac:dyDescent="0.25">
      <c r="A668" s="72" t="s">
        <v>1078</v>
      </c>
      <c r="B668" s="73" t="s">
        <v>1073</v>
      </c>
      <c r="C668" s="72" t="s">
        <v>1303</v>
      </c>
      <c r="D668" s="65">
        <v>7.5650000000000004</v>
      </c>
      <c r="E668" s="65">
        <v>10.718</v>
      </c>
      <c r="F668" s="65">
        <v>0</v>
      </c>
      <c r="G668" s="65"/>
      <c r="H668" s="65"/>
      <c r="I668" s="65"/>
    </row>
    <row r="669" spans="1:9" ht="60" hidden="1" customHeight="1" x14ac:dyDescent="0.25">
      <c r="A669" s="72" t="s">
        <v>1079</v>
      </c>
      <c r="B669" s="73" t="s">
        <v>1077</v>
      </c>
      <c r="C669" s="72"/>
      <c r="D669" s="74"/>
      <c r="E669" s="74"/>
      <c r="F669" s="74"/>
      <c r="G669" s="74"/>
      <c r="H669" s="74"/>
      <c r="I669" s="74"/>
    </row>
    <row r="670" spans="1:9" ht="15" hidden="1" customHeight="1" x14ac:dyDescent="0.25">
      <c r="A670" s="72"/>
      <c r="B670" s="73" t="s">
        <v>186</v>
      </c>
      <c r="C670" s="72" t="s">
        <v>1303</v>
      </c>
      <c r="D670" s="65">
        <v>62.401000000000003</v>
      </c>
      <c r="E670" s="65">
        <v>62.401000000000003</v>
      </c>
      <c r="F670" s="65">
        <v>0</v>
      </c>
      <c r="G670" s="65"/>
      <c r="H670" s="65"/>
      <c r="I670" s="65"/>
    </row>
    <row r="671" spans="1:9" ht="30" hidden="1" customHeight="1" x14ac:dyDescent="0.25">
      <c r="A671" s="72"/>
      <c r="B671" s="73" t="s">
        <v>1304</v>
      </c>
      <c r="C671" s="72" t="s">
        <v>1303</v>
      </c>
      <c r="D671" s="65">
        <v>15.874000000000001</v>
      </c>
      <c r="E671" s="65">
        <v>15.874000000000001</v>
      </c>
      <c r="F671" s="65">
        <v>0</v>
      </c>
      <c r="G671" s="65"/>
      <c r="H671" s="65"/>
      <c r="I671" s="65"/>
    </row>
    <row r="672" spans="1:9" ht="15" hidden="1" customHeight="1" x14ac:dyDescent="0.25">
      <c r="A672" s="80"/>
      <c r="B672" s="73" t="s">
        <v>1305</v>
      </c>
      <c r="C672" s="72" t="s">
        <v>1303</v>
      </c>
      <c r="D672" s="65">
        <v>10.478999999999999</v>
      </c>
      <c r="E672" s="65">
        <v>10.478999999999999</v>
      </c>
      <c r="F672" s="65">
        <v>0</v>
      </c>
      <c r="G672" s="65"/>
      <c r="H672" s="65"/>
      <c r="I672" s="65"/>
    </row>
    <row r="673" spans="1:9" ht="15" hidden="1" customHeight="1" x14ac:dyDescent="0.25">
      <c r="A673" s="80"/>
      <c r="B673" s="73" t="s">
        <v>1306</v>
      </c>
      <c r="C673" s="72" t="s">
        <v>1303</v>
      </c>
      <c r="D673" s="65">
        <v>37.991</v>
      </c>
      <c r="E673" s="65">
        <v>37.991</v>
      </c>
      <c r="F673" s="65">
        <v>0</v>
      </c>
      <c r="G673" s="65"/>
      <c r="H673" s="65"/>
      <c r="I673" s="65"/>
    </row>
    <row r="674" spans="1:9" ht="45" hidden="1" customHeight="1" x14ac:dyDescent="0.25">
      <c r="A674" s="72" t="s">
        <v>1087</v>
      </c>
      <c r="B674" s="73" t="s">
        <v>1084</v>
      </c>
      <c r="C674" s="72" t="s">
        <v>9</v>
      </c>
      <c r="D674" s="65">
        <v>9.7452683888237299</v>
      </c>
      <c r="E674" s="65">
        <v>9.7452683888237299</v>
      </c>
      <c r="F674" s="65" t="s">
        <v>1500</v>
      </c>
      <c r="G674" s="65"/>
      <c r="H674" s="65"/>
      <c r="I674" s="65"/>
    </row>
    <row r="675" spans="1:9" ht="30" hidden="1" customHeight="1" x14ac:dyDescent="0.25">
      <c r="A675" s="9" t="s">
        <v>1088</v>
      </c>
      <c r="B675" s="32" t="s">
        <v>1089</v>
      </c>
      <c r="C675" s="6"/>
      <c r="D675" s="8"/>
      <c r="E675" s="8"/>
      <c r="F675" s="8"/>
      <c r="G675" s="8"/>
      <c r="H675" s="8"/>
      <c r="I675" s="8"/>
    </row>
    <row r="676" spans="1:9" ht="60" hidden="1" customHeight="1" x14ac:dyDescent="0.25">
      <c r="A676" s="72" t="s">
        <v>1091</v>
      </c>
      <c r="B676" s="73" t="s">
        <v>1090</v>
      </c>
      <c r="C676" s="72" t="s">
        <v>9</v>
      </c>
      <c r="D676" s="65">
        <v>40.691553101989207</v>
      </c>
      <c r="E676" s="65">
        <v>40.691553101989207</v>
      </c>
      <c r="F676" s="65" t="s">
        <v>1500</v>
      </c>
      <c r="G676" s="65"/>
      <c r="H676" s="65"/>
      <c r="I676" s="65"/>
    </row>
    <row r="677" spans="1:9" ht="45" hidden="1" customHeight="1" x14ac:dyDescent="0.25">
      <c r="A677" s="99" t="s">
        <v>1095</v>
      </c>
      <c r="B677" s="100" t="s">
        <v>1096</v>
      </c>
      <c r="C677" s="88"/>
      <c r="D677" s="111"/>
      <c r="E677" s="111"/>
      <c r="F677" s="111"/>
      <c r="G677" s="111"/>
      <c r="H677" s="111"/>
      <c r="I677" s="111"/>
    </row>
    <row r="678" spans="1:9" ht="75" hidden="1" customHeight="1" x14ac:dyDescent="0.25">
      <c r="A678" s="11" t="s">
        <v>1098</v>
      </c>
      <c r="B678" s="64" t="s">
        <v>1412</v>
      </c>
      <c r="C678" s="11" t="s">
        <v>9</v>
      </c>
      <c r="D678" s="111"/>
      <c r="E678" s="111"/>
      <c r="F678" s="111"/>
      <c r="G678" s="111"/>
      <c r="H678" s="111"/>
      <c r="I678" s="111"/>
    </row>
    <row r="679" spans="1:9" ht="45" hidden="1" customHeight="1" x14ac:dyDescent="0.25">
      <c r="A679" s="99" t="s">
        <v>1101</v>
      </c>
      <c r="B679" s="100" t="s">
        <v>1102</v>
      </c>
      <c r="C679" s="11"/>
      <c r="D679" s="111"/>
      <c r="E679" s="111"/>
      <c r="F679" s="111"/>
      <c r="G679" s="111"/>
      <c r="H679" s="111"/>
      <c r="I679" s="111"/>
    </row>
    <row r="680" spans="1:9" ht="60" hidden="1" customHeight="1" x14ac:dyDescent="0.25">
      <c r="A680" s="11" t="s">
        <v>1104</v>
      </c>
      <c r="B680" s="64" t="s">
        <v>1413</v>
      </c>
      <c r="C680" s="11" t="s">
        <v>9</v>
      </c>
      <c r="D680" s="111"/>
      <c r="E680" s="111"/>
      <c r="F680" s="111"/>
      <c r="G680" s="111"/>
      <c r="H680" s="111"/>
      <c r="I680" s="111"/>
    </row>
    <row r="681" spans="1:9" ht="30" hidden="1" customHeight="1" x14ac:dyDescent="0.25">
      <c r="A681" s="99" t="s">
        <v>1107</v>
      </c>
      <c r="B681" s="100" t="s">
        <v>1108</v>
      </c>
      <c r="C681" s="88"/>
      <c r="D681" s="111"/>
      <c r="E681" s="111"/>
      <c r="F681" s="111"/>
      <c r="G681" s="111"/>
      <c r="H681" s="111"/>
      <c r="I681" s="111"/>
    </row>
    <row r="682" spans="1:9" ht="60" hidden="1" customHeight="1" x14ac:dyDescent="0.25">
      <c r="A682" s="75" t="s">
        <v>1109</v>
      </c>
      <c r="B682" s="112" t="s">
        <v>1110</v>
      </c>
      <c r="C682" s="75" t="s">
        <v>9</v>
      </c>
      <c r="D682" s="105" t="s">
        <v>1500</v>
      </c>
      <c r="E682" s="105" t="s">
        <v>1500</v>
      </c>
      <c r="F682" s="105" t="s">
        <v>1500</v>
      </c>
      <c r="G682" s="105"/>
      <c r="H682" s="105"/>
      <c r="I682" s="105"/>
    </row>
    <row r="683" spans="1:9" ht="30" hidden="1" customHeight="1" x14ac:dyDescent="0.25">
      <c r="A683" s="99" t="s">
        <v>1117</v>
      </c>
      <c r="B683" s="100" t="s">
        <v>1116</v>
      </c>
      <c r="C683" s="88"/>
      <c r="D683" s="111"/>
      <c r="E683" s="111"/>
      <c r="F683" s="111"/>
      <c r="G683" s="111"/>
      <c r="H683" s="111"/>
      <c r="I683" s="111"/>
    </row>
    <row r="684" spans="1:9" ht="60" hidden="1" customHeight="1" x14ac:dyDescent="0.25">
      <c r="A684" s="11" t="s">
        <v>1119</v>
      </c>
      <c r="B684" s="64" t="s">
        <v>1414</v>
      </c>
      <c r="C684" s="11" t="s">
        <v>9</v>
      </c>
      <c r="D684" s="111"/>
      <c r="E684" s="111"/>
      <c r="F684" s="111"/>
      <c r="G684" s="111"/>
      <c r="H684" s="111"/>
      <c r="I684" s="111"/>
    </row>
    <row r="685" spans="1:9" ht="60" hidden="1" customHeight="1" x14ac:dyDescent="0.25">
      <c r="A685" s="99" t="s">
        <v>1123</v>
      </c>
      <c r="B685" s="100" t="s">
        <v>1122</v>
      </c>
      <c r="C685" s="88"/>
      <c r="D685" s="111"/>
      <c r="E685" s="111"/>
      <c r="F685" s="111"/>
      <c r="G685" s="111"/>
      <c r="H685" s="111"/>
      <c r="I685" s="111"/>
    </row>
    <row r="686" spans="1:9" ht="30" hidden="1" customHeight="1" x14ac:dyDescent="0.25">
      <c r="A686" s="11" t="s">
        <v>1125</v>
      </c>
      <c r="B686" s="64" t="s">
        <v>1140</v>
      </c>
      <c r="C686" s="11"/>
      <c r="D686" s="111"/>
      <c r="E686" s="111"/>
      <c r="F686" s="111"/>
      <c r="G686" s="111"/>
      <c r="H686" s="111"/>
      <c r="I686" s="111"/>
    </row>
    <row r="687" spans="1:9" ht="15" hidden="1" customHeight="1" x14ac:dyDescent="0.25">
      <c r="A687" s="11"/>
      <c r="B687" s="64" t="s">
        <v>1415</v>
      </c>
      <c r="C687" s="11" t="s">
        <v>1268</v>
      </c>
      <c r="D687" s="111"/>
      <c r="E687" s="111"/>
      <c r="F687" s="111"/>
      <c r="G687" s="111"/>
      <c r="H687" s="111"/>
      <c r="I687" s="111"/>
    </row>
    <row r="688" spans="1:9" ht="15" hidden="1" customHeight="1" x14ac:dyDescent="0.25">
      <c r="A688" s="11"/>
      <c r="B688" s="64" t="s">
        <v>1405</v>
      </c>
      <c r="C688" s="11" t="s">
        <v>1268</v>
      </c>
      <c r="D688" s="111"/>
      <c r="E688" s="111"/>
      <c r="F688" s="111"/>
      <c r="G688" s="111"/>
      <c r="H688" s="111"/>
      <c r="I688" s="111"/>
    </row>
    <row r="689" spans="1:9" ht="15" hidden="1" customHeight="1" x14ac:dyDescent="0.25">
      <c r="A689" s="11"/>
      <c r="B689" s="64" t="s">
        <v>1416</v>
      </c>
      <c r="C689" s="11" t="s">
        <v>1268</v>
      </c>
      <c r="D689" s="111"/>
      <c r="E689" s="111"/>
      <c r="F689" s="111"/>
      <c r="G689" s="111"/>
      <c r="H689" s="111"/>
      <c r="I689" s="111"/>
    </row>
    <row r="690" spans="1:9" ht="15" hidden="1" customHeight="1" x14ac:dyDescent="0.25">
      <c r="A690" s="11"/>
      <c r="B690" s="64" t="s">
        <v>1417</v>
      </c>
      <c r="C690" s="11" t="s">
        <v>1268</v>
      </c>
      <c r="D690" s="111"/>
      <c r="E690" s="111"/>
      <c r="F690" s="111"/>
      <c r="G690" s="111"/>
      <c r="H690" s="111"/>
      <c r="I690" s="111"/>
    </row>
    <row r="691" spans="1:9" ht="15" hidden="1" customHeight="1" x14ac:dyDescent="0.25">
      <c r="A691" s="11"/>
      <c r="B691" s="64" t="s">
        <v>1404</v>
      </c>
      <c r="C691" s="11" t="s">
        <v>1268</v>
      </c>
      <c r="D691" s="111"/>
      <c r="E691" s="111"/>
      <c r="F691" s="111"/>
      <c r="G691" s="111"/>
      <c r="H691" s="111"/>
      <c r="I691" s="111"/>
    </row>
    <row r="692" spans="1:9" ht="15" hidden="1" customHeight="1" x14ac:dyDescent="0.25">
      <c r="A692" s="11"/>
      <c r="B692" s="64" t="s">
        <v>1418</v>
      </c>
      <c r="C692" s="11" t="s">
        <v>1268</v>
      </c>
      <c r="D692" s="111"/>
      <c r="E692" s="111"/>
      <c r="F692" s="111"/>
      <c r="G692" s="111"/>
      <c r="H692" s="111"/>
      <c r="I692" s="111"/>
    </row>
    <row r="693" spans="1:9" ht="45" hidden="1" customHeight="1" x14ac:dyDescent="0.25">
      <c r="A693" s="99" t="s">
        <v>1127</v>
      </c>
      <c r="B693" s="100" t="s">
        <v>1126</v>
      </c>
      <c r="C693" s="88"/>
      <c r="D693" s="111"/>
      <c r="E693" s="111"/>
      <c r="F693" s="111"/>
      <c r="G693" s="111"/>
      <c r="H693" s="111"/>
      <c r="I693" s="111"/>
    </row>
    <row r="694" spans="1:9" ht="60" hidden="1" customHeight="1" x14ac:dyDescent="0.25">
      <c r="A694" s="11" t="s">
        <v>1129</v>
      </c>
      <c r="B694" s="64" t="s">
        <v>1128</v>
      </c>
      <c r="C694" s="11"/>
      <c r="D694" s="111"/>
      <c r="E694" s="111"/>
      <c r="F694" s="111"/>
      <c r="G694" s="111"/>
      <c r="H694" s="111"/>
      <c r="I694" s="111"/>
    </row>
    <row r="695" spans="1:9" ht="15" hidden="1" customHeight="1" x14ac:dyDescent="0.25">
      <c r="A695" s="88"/>
      <c r="B695" s="64" t="s">
        <v>1419</v>
      </c>
      <c r="C695" s="11" t="s">
        <v>9</v>
      </c>
      <c r="D695" s="111"/>
      <c r="E695" s="111"/>
      <c r="F695" s="111"/>
      <c r="G695" s="111"/>
      <c r="H695" s="111"/>
      <c r="I695" s="111"/>
    </row>
    <row r="696" spans="1:9" ht="15" hidden="1" customHeight="1" x14ac:dyDescent="0.25">
      <c r="A696" s="88"/>
      <c r="B696" s="64" t="s">
        <v>1420</v>
      </c>
      <c r="C696" s="11" t="s">
        <v>9</v>
      </c>
      <c r="D696" s="111"/>
      <c r="E696" s="111"/>
      <c r="F696" s="111"/>
      <c r="G696" s="111"/>
      <c r="H696" s="111"/>
      <c r="I696" s="111"/>
    </row>
    <row r="697" spans="1:9" ht="30" hidden="1" customHeight="1" x14ac:dyDescent="0.25">
      <c r="A697" s="99" t="s">
        <v>1134</v>
      </c>
      <c r="B697" s="100" t="s">
        <v>1135</v>
      </c>
      <c r="C697" s="88"/>
      <c r="D697" s="111"/>
      <c r="E697" s="111"/>
      <c r="F697" s="111"/>
      <c r="G697" s="111"/>
      <c r="H697" s="111"/>
      <c r="I697" s="111"/>
    </row>
    <row r="698" spans="1:9" ht="75" hidden="1" customHeight="1" x14ac:dyDescent="0.25">
      <c r="A698" s="11" t="s">
        <v>1137</v>
      </c>
      <c r="B698" s="64" t="s">
        <v>1421</v>
      </c>
      <c r="C698" s="11" t="s">
        <v>9</v>
      </c>
      <c r="D698" s="111"/>
      <c r="E698" s="111"/>
      <c r="F698" s="111"/>
      <c r="G698" s="111"/>
      <c r="H698" s="111"/>
      <c r="I698" s="111"/>
    </row>
    <row r="699" spans="1:9" x14ac:dyDescent="0.25">
      <c r="A699" s="137" t="s">
        <v>1141</v>
      </c>
      <c r="B699" s="137"/>
      <c r="C699" s="137"/>
      <c r="D699" s="137"/>
      <c r="E699" s="137"/>
      <c r="F699" s="137"/>
      <c r="G699" s="385"/>
      <c r="H699" s="385"/>
      <c r="I699" s="385"/>
    </row>
    <row r="700" spans="1:9" ht="15" hidden="1" customHeight="1" x14ac:dyDescent="0.25">
      <c r="A700" s="137" t="s">
        <v>1142</v>
      </c>
      <c r="B700" s="137"/>
      <c r="C700" s="137"/>
      <c r="D700" s="137"/>
      <c r="E700" s="137"/>
      <c r="F700" s="137"/>
      <c r="G700" s="385"/>
      <c r="H700" s="385"/>
      <c r="I700" s="385"/>
    </row>
    <row r="701" spans="1:9" ht="30" hidden="1" customHeight="1" x14ac:dyDescent="0.25">
      <c r="A701" s="9" t="s">
        <v>1143</v>
      </c>
      <c r="B701" s="32" t="s">
        <v>1144</v>
      </c>
      <c r="C701" s="7"/>
      <c r="D701" s="8"/>
      <c r="E701" s="8"/>
      <c r="F701" s="8"/>
      <c r="G701" s="8"/>
      <c r="H701" s="8"/>
      <c r="I701" s="8"/>
    </row>
    <row r="702" spans="1:9" ht="30" hidden="1" customHeight="1" x14ac:dyDescent="0.25">
      <c r="A702" s="72" t="s">
        <v>1147</v>
      </c>
      <c r="B702" s="73" t="s">
        <v>1146</v>
      </c>
      <c r="C702" s="72" t="s">
        <v>9</v>
      </c>
      <c r="D702" s="65">
        <v>13.9</v>
      </c>
      <c r="E702" s="65">
        <v>3.3</v>
      </c>
      <c r="F702" s="65">
        <v>0</v>
      </c>
      <c r="G702" s="65"/>
      <c r="H702" s="65"/>
      <c r="I702" s="65"/>
    </row>
    <row r="703" spans="1:9" ht="30" hidden="1" customHeight="1" x14ac:dyDescent="0.25">
      <c r="A703" s="99" t="s">
        <v>1312</v>
      </c>
      <c r="B703" s="100" t="s">
        <v>1152</v>
      </c>
      <c r="C703" s="11"/>
      <c r="D703" s="111"/>
      <c r="E703" s="111"/>
      <c r="F703" s="111"/>
      <c r="G703" s="111"/>
      <c r="H703" s="111"/>
      <c r="I703" s="111"/>
    </row>
    <row r="704" spans="1:9" ht="90" hidden="1" customHeight="1" x14ac:dyDescent="0.25">
      <c r="A704" s="11" t="s">
        <v>1313</v>
      </c>
      <c r="B704" s="64" t="s">
        <v>1154</v>
      </c>
      <c r="C704" s="11"/>
      <c r="D704" s="111"/>
      <c r="E704" s="111"/>
      <c r="F704" s="111"/>
      <c r="G704" s="111"/>
      <c r="H704" s="111"/>
      <c r="I704" s="111"/>
    </row>
    <row r="705" spans="1:9" ht="30" hidden="1" customHeight="1" x14ac:dyDescent="0.25">
      <c r="A705" s="11"/>
      <c r="B705" s="64" t="s">
        <v>1422</v>
      </c>
      <c r="C705" s="11" t="s">
        <v>9</v>
      </c>
      <c r="D705" s="111"/>
      <c r="E705" s="111"/>
      <c r="F705" s="111"/>
      <c r="G705" s="111"/>
      <c r="H705" s="111"/>
      <c r="I705" s="111"/>
    </row>
    <row r="706" spans="1:9" ht="15" hidden="1" customHeight="1" x14ac:dyDescent="0.25">
      <c r="A706" s="11"/>
      <c r="B706" s="64" t="s">
        <v>1423</v>
      </c>
      <c r="C706" s="11" t="s">
        <v>9</v>
      </c>
      <c r="D706" s="111"/>
      <c r="E706" s="111"/>
      <c r="F706" s="111"/>
      <c r="G706" s="111"/>
      <c r="H706" s="111"/>
      <c r="I706" s="111"/>
    </row>
    <row r="707" spans="1:9" ht="15" hidden="1" customHeight="1" x14ac:dyDescent="0.25">
      <c r="A707" s="11"/>
      <c r="B707" s="64" t="s">
        <v>1424</v>
      </c>
      <c r="C707" s="11" t="s">
        <v>9</v>
      </c>
      <c r="D707" s="111"/>
      <c r="E707" s="111"/>
      <c r="F707" s="111"/>
      <c r="G707" s="111"/>
      <c r="H707" s="111"/>
      <c r="I707" s="111"/>
    </row>
    <row r="708" spans="1:9" ht="15" hidden="1" customHeight="1" x14ac:dyDescent="0.25">
      <c r="A708" s="137" t="s">
        <v>1162</v>
      </c>
      <c r="B708" s="137"/>
      <c r="C708" s="137"/>
      <c r="D708" s="137"/>
      <c r="E708" s="137"/>
      <c r="F708" s="137"/>
      <c r="G708" s="385"/>
      <c r="H708" s="385"/>
      <c r="I708" s="385"/>
    </row>
    <row r="709" spans="1:9" ht="60" hidden="1" customHeight="1" x14ac:dyDescent="0.25">
      <c r="A709" s="6" t="s">
        <v>1163</v>
      </c>
      <c r="B709" s="33" t="s">
        <v>1170</v>
      </c>
      <c r="C709" s="6"/>
      <c r="D709" s="8"/>
      <c r="E709" s="8"/>
      <c r="F709" s="8"/>
      <c r="G709" s="8"/>
      <c r="H709" s="8"/>
      <c r="I709" s="8"/>
    </row>
    <row r="710" spans="1:9" ht="15" hidden="1" customHeight="1" x14ac:dyDescent="0.25">
      <c r="A710" s="31"/>
      <c r="B710" s="33" t="s">
        <v>1425</v>
      </c>
      <c r="C710" s="6"/>
      <c r="D710" s="65"/>
      <c r="E710" s="65"/>
      <c r="F710" s="65"/>
      <c r="G710" s="65"/>
      <c r="H710" s="65"/>
      <c r="I710" s="65"/>
    </row>
    <row r="711" spans="1:9" ht="15" hidden="1" customHeight="1" x14ac:dyDescent="0.25">
      <c r="A711" s="31"/>
      <c r="B711" s="33" t="s">
        <v>1351</v>
      </c>
      <c r="C711" s="6" t="s">
        <v>9</v>
      </c>
      <c r="D711" s="65">
        <v>0.81</v>
      </c>
      <c r="E711" s="65">
        <v>1.69</v>
      </c>
      <c r="F711" s="65">
        <v>0</v>
      </c>
      <c r="G711" s="65"/>
      <c r="H711" s="65"/>
      <c r="I711" s="65"/>
    </row>
    <row r="712" spans="1:9" ht="15" hidden="1" customHeight="1" x14ac:dyDescent="0.25">
      <c r="A712" s="31"/>
      <c r="B712" s="33" t="s">
        <v>1352</v>
      </c>
      <c r="C712" s="6" t="s">
        <v>9</v>
      </c>
      <c r="D712" s="65">
        <v>0</v>
      </c>
      <c r="E712" s="65">
        <v>0</v>
      </c>
      <c r="F712" s="65">
        <v>0</v>
      </c>
      <c r="G712" s="65"/>
      <c r="H712" s="65"/>
      <c r="I712" s="65"/>
    </row>
    <row r="713" spans="1:9" ht="15" hidden="1" customHeight="1" x14ac:dyDescent="0.25">
      <c r="A713" s="31"/>
      <c r="B713" s="33" t="s">
        <v>1426</v>
      </c>
      <c r="C713" s="6"/>
      <c r="D713" s="65"/>
      <c r="E713" s="65"/>
      <c r="F713" s="65"/>
      <c r="G713" s="65"/>
      <c r="H713" s="65"/>
      <c r="I713" s="65"/>
    </row>
    <row r="714" spans="1:9" ht="15" hidden="1" customHeight="1" x14ac:dyDescent="0.25">
      <c r="A714" s="31"/>
      <c r="B714" s="33" t="s">
        <v>1351</v>
      </c>
      <c r="C714" s="6" t="s">
        <v>9</v>
      </c>
      <c r="D714" s="65">
        <v>0.81</v>
      </c>
      <c r="E714" s="65">
        <v>1.24</v>
      </c>
      <c r="F714" s="65">
        <v>0</v>
      </c>
      <c r="G714" s="65"/>
      <c r="H714" s="65"/>
      <c r="I714" s="65"/>
    </row>
    <row r="715" spans="1:9" ht="15" hidden="1" customHeight="1" x14ac:dyDescent="0.25">
      <c r="A715" s="31"/>
      <c r="B715" s="33" t="s">
        <v>1352</v>
      </c>
      <c r="C715" s="6" t="s">
        <v>9</v>
      </c>
      <c r="D715" s="65">
        <v>0</v>
      </c>
      <c r="E715" s="65">
        <v>0</v>
      </c>
      <c r="F715" s="65">
        <v>0</v>
      </c>
      <c r="G715" s="65"/>
      <c r="H715" s="65"/>
      <c r="I715" s="65"/>
    </row>
    <row r="716" spans="1:9" ht="60" hidden="1" customHeight="1" x14ac:dyDescent="0.25">
      <c r="A716" s="6" t="s">
        <v>1169</v>
      </c>
      <c r="B716" s="33" t="s">
        <v>1171</v>
      </c>
      <c r="C716" s="6"/>
      <c r="D716" s="8"/>
      <c r="E716" s="8"/>
      <c r="F716" s="8"/>
      <c r="G716" s="8"/>
      <c r="H716" s="8"/>
      <c r="I716" s="8"/>
    </row>
    <row r="717" spans="1:9" ht="15" hidden="1" customHeight="1" x14ac:dyDescent="0.25">
      <c r="A717" s="31"/>
      <c r="B717" s="33" t="s">
        <v>1425</v>
      </c>
      <c r="C717" s="6"/>
      <c r="D717" s="8"/>
      <c r="E717" s="8"/>
      <c r="F717" s="8"/>
      <c r="G717" s="8"/>
      <c r="H717" s="8"/>
      <c r="I717" s="8"/>
    </row>
    <row r="718" spans="1:9" ht="15" hidden="1" customHeight="1" x14ac:dyDescent="0.25">
      <c r="A718" s="31"/>
      <c r="B718" s="33" t="s">
        <v>1351</v>
      </c>
      <c r="C718" s="6" t="s">
        <v>9</v>
      </c>
      <c r="D718" s="65">
        <v>1.47</v>
      </c>
      <c r="E718" s="65">
        <v>1.34</v>
      </c>
      <c r="F718" s="65">
        <v>0</v>
      </c>
      <c r="G718" s="65"/>
      <c r="H718" s="65"/>
      <c r="I718" s="65"/>
    </row>
    <row r="719" spans="1:9" ht="15" hidden="1" customHeight="1" x14ac:dyDescent="0.25">
      <c r="A719" s="31"/>
      <c r="B719" s="33" t="s">
        <v>1352</v>
      </c>
      <c r="C719" s="6" t="s">
        <v>9</v>
      </c>
      <c r="D719" s="65">
        <v>6.84</v>
      </c>
      <c r="E719" s="65">
        <v>1.84</v>
      </c>
      <c r="F719" s="65">
        <v>0</v>
      </c>
      <c r="G719" s="65"/>
      <c r="H719" s="65"/>
      <c r="I719" s="65"/>
    </row>
    <row r="720" spans="1:9" ht="15" hidden="1" customHeight="1" x14ac:dyDescent="0.25">
      <c r="A720" s="31"/>
      <c r="B720" s="33" t="s">
        <v>1426</v>
      </c>
      <c r="C720" s="6"/>
      <c r="D720" s="8"/>
      <c r="E720" s="8"/>
      <c r="F720" s="8"/>
      <c r="G720" s="8"/>
      <c r="H720" s="8"/>
      <c r="I720" s="8"/>
    </row>
    <row r="721" spans="1:9" ht="15" hidden="1" customHeight="1" x14ac:dyDescent="0.25">
      <c r="A721" s="31"/>
      <c r="B721" s="33" t="s">
        <v>1351</v>
      </c>
      <c r="C721" s="6" t="s">
        <v>9</v>
      </c>
      <c r="D721" s="65">
        <v>1.47</v>
      </c>
      <c r="E721" s="65">
        <v>1.34</v>
      </c>
      <c r="F721" s="65">
        <v>0</v>
      </c>
      <c r="G721" s="65"/>
      <c r="H721" s="65"/>
      <c r="I721" s="65"/>
    </row>
    <row r="722" spans="1:9" ht="15" hidden="1" customHeight="1" x14ac:dyDescent="0.25">
      <c r="A722" s="31"/>
      <c r="B722" s="33" t="s">
        <v>1352</v>
      </c>
      <c r="C722" s="6" t="s">
        <v>9</v>
      </c>
      <c r="D722" s="65">
        <v>0.78</v>
      </c>
      <c r="E722" s="65">
        <v>1.57</v>
      </c>
      <c r="F722" s="65">
        <v>0</v>
      </c>
      <c r="G722" s="65"/>
      <c r="H722" s="65"/>
      <c r="I722" s="65"/>
    </row>
    <row r="723" spans="1:9" x14ac:dyDescent="0.25">
      <c r="A723" s="137" t="s">
        <v>1176</v>
      </c>
      <c r="B723" s="137"/>
      <c r="C723" s="137"/>
      <c r="D723" s="137"/>
      <c r="E723" s="137"/>
      <c r="F723" s="137"/>
      <c r="G723" s="385"/>
      <c r="H723" s="385"/>
      <c r="I723" s="385"/>
    </row>
    <row r="724" spans="1:9" ht="15" hidden="1" customHeight="1" x14ac:dyDescent="0.25">
      <c r="A724" s="99" t="s">
        <v>1218</v>
      </c>
      <c r="B724" s="100" t="s">
        <v>1219</v>
      </c>
      <c r="C724" s="88"/>
      <c r="D724" s="111"/>
      <c r="E724" s="111"/>
      <c r="F724" s="111"/>
      <c r="G724" s="111"/>
      <c r="H724" s="111"/>
      <c r="I724" s="111"/>
    </row>
    <row r="725" spans="1:9" ht="30" hidden="1" customHeight="1" x14ac:dyDescent="0.25">
      <c r="A725" s="131" t="s">
        <v>1177</v>
      </c>
      <c r="B725" s="64" t="s">
        <v>1436</v>
      </c>
      <c r="C725" s="11" t="s">
        <v>9</v>
      </c>
      <c r="D725" s="111"/>
      <c r="E725" s="111"/>
      <c r="F725" s="111"/>
      <c r="G725" s="111"/>
      <c r="H725" s="111"/>
      <c r="I725" s="111"/>
    </row>
    <row r="726" spans="1:9" ht="30" hidden="1" customHeight="1" x14ac:dyDescent="0.25">
      <c r="A726" s="11" t="s">
        <v>1188</v>
      </c>
      <c r="B726" s="64" t="s">
        <v>1437</v>
      </c>
      <c r="C726" s="11" t="s">
        <v>9</v>
      </c>
      <c r="D726" s="111"/>
      <c r="E726" s="111"/>
      <c r="F726" s="111"/>
      <c r="G726" s="111"/>
      <c r="H726" s="111"/>
      <c r="I726" s="111"/>
    </row>
    <row r="727" spans="1:9" ht="45" hidden="1" customHeight="1" x14ac:dyDescent="0.25">
      <c r="A727" s="99" t="s">
        <v>1220</v>
      </c>
      <c r="B727" s="100" t="s">
        <v>1190</v>
      </c>
      <c r="C727" s="88"/>
      <c r="D727" s="111"/>
      <c r="E727" s="111"/>
      <c r="F727" s="111"/>
      <c r="G727" s="111"/>
      <c r="H727" s="111"/>
      <c r="I727" s="111"/>
    </row>
    <row r="728" spans="1:9" ht="105" hidden="1" customHeight="1" x14ac:dyDescent="0.25">
      <c r="A728" s="11" t="s">
        <v>1201</v>
      </c>
      <c r="B728" s="64" t="s">
        <v>1496</v>
      </c>
      <c r="C728" s="11"/>
      <c r="D728" s="111"/>
      <c r="E728" s="111"/>
      <c r="F728" s="111"/>
      <c r="G728" s="111"/>
      <c r="H728" s="111"/>
      <c r="I728" s="111"/>
    </row>
    <row r="729" spans="1:9" ht="15" hidden="1" customHeight="1" x14ac:dyDescent="0.25">
      <c r="A729" s="11"/>
      <c r="B729" s="16" t="s">
        <v>1438</v>
      </c>
      <c r="C729" s="11" t="s">
        <v>9</v>
      </c>
      <c r="D729" s="111"/>
      <c r="E729" s="111"/>
      <c r="F729" s="111"/>
      <c r="G729" s="111"/>
      <c r="H729" s="111"/>
      <c r="I729" s="111"/>
    </row>
    <row r="730" spans="1:9" ht="15" hidden="1" customHeight="1" x14ac:dyDescent="0.25">
      <c r="A730" s="11"/>
      <c r="B730" s="16" t="s">
        <v>1195</v>
      </c>
      <c r="C730" s="11"/>
      <c r="D730" s="111"/>
      <c r="E730" s="111"/>
      <c r="F730" s="111"/>
      <c r="G730" s="111"/>
      <c r="H730" s="111"/>
      <c r="I730" s="111"/>
    </row>
    <row r="731" spans="1:9" ht="15" hidden="1" customHeight="1" x14ac:dyDescent="0.25">
      <c r="A731" s="11"/>
      <c r="B731" s="20" t="s">
        <v>1439</v>
      </c>
      <c r="C731" s="11" t="s">
        <v>9</v>
      </c>
      <c r="D731" s="111"/>
      <c r="E731" s="111"/>
      <c r="F731" s="111"/>
      <c r="G731" s="111"/>
      <c r="H731" s="111"/>
      <c r="I731" s="111"/>
    </row>
    <row r="732" spans="1:9" ht="15" hidden="1" customHeight="1" x14ac:dyDescent="0.25">
      <c r="A732" s="11"/>
      <c r="B732" s="20" t="s">
        <v>1440</v>
      </c>
      <c r="C732" s="11" t="s">
        <v>9</v>
      </c>
      <c r="D732" s="111"/>
      <c r="E732" s="111"/>
      <c r="F732" s="111"/>
      <c r="G732" s="111"/>
      <c r="H732" s="111"/>
      <c r="I732" s="111"/>
    </row>
    <row r="733" spans="1:9" ht="15" hidden="1" customHeight="1" x14ac:dyDescent="0.25">
      <c r="A733" s="11"/>
      <c r="B733" s="20" t="s">
        <v>1441</v>
      </c>
      <c r="C733" s="11" t="s">
        <v>9</v>
      </c>
      <c r="D733" s="111"/>
      <c r="E733" s="111"/>
      <c r="F733" s="111"/>
      <c r="G733" s="111"/>
      <c r="H733" s="111"/>
      <c r="I733" s="111"/>
    </row>
    <row r="734" spans="1:9" ht="15" hidden="1" customHeight="1" x14ac:dyDescent="0.25">
      <c r="A734" s="11"/>
      <c r="B734" s="20" t="s">
        <v>1442</v>
      </c>
      <c r="C734" s="11" t="s">
        <v>9</v>
      </c>
      <c r="D734" s="111"/>
      <c r="E734" s="111"/>
      <c r="F734" s="111"/>
      <c r="G734" s="111"/>
      <c r="H734" s="111"/>
      <c r="I734" s="111"/>
    </row>
    <row r="735" spans="1:9" ht="15" hidden="1" customHeight="1" x14ac:dyDescent="0.25">
      <c r="A735" s="11"/>
      <c r="B735" s="16" t="s">
        <v>1198</v>
      </c>
      <c r="C735" s="11"/>
      <c r="D735" s="111"/>
      <c r="E735" s="111"/>
      <c r="F735" s="111"/>
      <c r="G735" s="111"/>
      <c r="H735" s="111"/>
      <c r="I735" s="111"/>
    </row>
    <row r="736" spans="1:9" ht="15" hidden="1" customHeight="1" x14ac:dyDescent="0.25">
      <c r="A736" s="11"/>
      <c r="B736" s="20" t="s">
        <v>1443</v>
      </c>
      <c r="C736" s="11" t="s">
        <v>9</v>
      </c>
      <c r="D736" s="111"/>
      <c r="E736" s="111"/>
      <c r="F736" s="111"/>
      <c r="G736" s="111"/>
      <c r="H736" s="111"/>
      <c r="I736" s="111"/>
    </row>
    <row r="737" spans="1:9" ht="15" hidden="1" customHeight="1" x14ac:dyDescent="0.25">
      <c r="A737" s="11"/>
      <c r="B737" s="20" t="s">
        <v>1444</v>
      </c>
      <c r="C737" s="11" t="s">
        <v>9</v>
      </c>
      <c r="D737" s="111"/>
      <c r="E737" s="111"/>
      <c r="F737" s="111"/>
      <c r="G737" s="111"/>
      <c r="H737" s="111"/>
      <c r="I737" s="111"/>
    </row>
    <row r="738" spans="1:9" ht="15" hidden="1" customHeight="1" x14ac:dyDescent="0.25">
      <c r="A738" s="11"/>
      <c r="B738" s="20" t="s">
        <v>1445</v>
      </c>
      <c r="C738" s="11" t="s">
        <v>9</v>
      </c>
      <c r="D738" s="111"/>
      <c r="E738" s="111"/>
      <c r="F738" s="111"/>
      <c r="G738" s="111"/>
      <c r="H738" s="111"/>
      <c r="I738" s="111"/>
    </row>
    <row r="739" spans="1:9" ht="30" x14ac:dyDescent="0.25">
      <c r="A739" s="9" t="s">
        <v>1221</v>
      </c>
      <c r="B739" s="32" t="s">
        <v>1222</v>
      </c>
      <c r="C739" s="7"/>
      <c r="D739" s="8"/>
      <c r="E739" s="8"/>
      <c r="F739" s="8"/>
      <c r="G739" s="8"/>
      <c r="H739" s="8"/>
      <c r="I739" s="8"/>
    </row>
    <row r="740" spans="1:9" ht="45" hidden="1" customHeight="1" x14ac:dyDescent="0.25">
      <c r="A740" s="11" t="s">
        <v>1206</v>
      </c>
      <c r="B740" s="64" t="s">
        <v>1446</v>
      </c>
      <c r="C740" s="11" t="s">
        <v>9</v>
      </c>
      <c r="D740" s="111"/>
      <c r="E740" s="111"/>
      <c r="F740" s="111"/>
      <c r="G740" s="111"/>
      <c r="H740" s="111"/>
      <c r="I740" s="111"/>
    </row>
    <row r="741" spans="1:9" ht="45" x14ac:dyDescent="0.25">
      <c r="A741" s="75" t="s">
        <v>1207</v>
      </c>
      <c r="B741" s="112" t="s">
        <v>1208</v>
      </c>
      <c r="C741" s="75"/>
      <c r="D741" s="132"/>
      <c r="E741" s="132"/>
      <c r="F741" s="132"/>
      <c r="G741" s="132"/>
      <c r="H741" s="132"/>
      <c r="I741" s="132"/>
    </row>
    <row r="742" spans="1:9" x14ac:dyDescent="0.25">
      <c r="A742" s="75"/>
      <c r="B742" s="112" t="s">
        <v>1351</v>
      </c>
      <c r="C742" s="75" t="s">
        <v>9</v>
      </c>
      <c r="D742" s="105">
        <v>77.272727272727266</v>
      </c>
      <c r="E742" s="105">
        <v>77.272727272727266</v>
      </c>
      <c r="F742" s="105">
        <v>100</v>
      </c>
      <c r="G742" s="105">
        <v>100</v>
      </c>
      <c r="H742" s="105">
        <v>100</v>
      </c>
      <c r="I742" s="105">
        <v>100</v>
      </c>
    </row>
    <row r="743" spans="1:9" x14ac:dyDescent="0.25">
      <c r="A743" s="75"/>
      <c r="B743" s="112" t="s">
        <v>1352</v>
      </c>
      <c r="C743" s="75" t="s">
        <v>9</v>
      </c>
      <c r="D743" s="105" t="s">
        <v>1500</v>
      </c>
      <c r="E743" s="105" t="s">
        <v>1500</v>
      </c>
      <c r="F743" s="105" t="s">
        <v>1500</v>
      </c>
      <c r="G743" s="105"/>
      <c r="H743" s="105"/>
      <c r="I743" s="105"/>
    </row>
    <row r="744" spans="1:9" ht="15" hidden="1" customHeight="1" x14ac:dyDescent="0.25">
      <c r="A744" s="99" t="s">
        <v>1223</v>
      </c>
      <c r="B744" s="100" t="s">
        <v>1224</v>
      </c>
      <c r="C744" s="88"/>
      <c r="D744" s="111"/>
      <c r="E744" s="111"/>
      <c r="F744" s="111"/>
      <c r="G744" s="111"/>
      <c r="H744" s="111"/>
      <c r="I744" s="111"/>
    </row>
    <row r="745" spans="1:9" ht="45" hidden="1" customHeight="1" x14ac:dyDescent="0.25">
      <c r="A745" s="131" t="s">
        <v>1212</v>
      </c>
      <c r="B745" s="64" t="s">
        <v>1447</v>
      </c>
      <c r="C745" s="11" t="s">
        <v>9</v>
      </c>
      <c r="D745" s="111"/>
      <c r="E745" s="111"/>
      <c r="F745" s="111"/>
      <c r="G745" s="111"/>
      <c r="H745" s="111"/>
      <c r="I745" s="111"/>
    </row>
    <row r="746" spans="1:9" ht="15" customHeight="1" x14ac:dyDescent="0.25">
      <c r="A746" s="139" t="s">
        <v>1217</v>
      </c>
      <c r="B746" s="139"/>
      <c r="C746" s="139"/>
      <c r="D746" s="139"/>
      <c r="E746" s="139"/>
      <c r="F746" s="139"/>
      <c r="G746" s="387"/>
      <c r="H746" s="387"/>
      <c r="I746" s="387"/>
    </row>
    <row r="747" spans="1:9" x14ac:dyDescent="0.25">
      <c r="A747" s="9" t="s">
        <v>1225</v>
      </c>
      <c r="B747" s="32" t="s">
        <v>1226</v>
      </c>
      <c r="C747" s="7"/>
      <c r="D747" s="8"/>
      <c r="E747" s="8"/>
      <c r="F747" s="8"/>
      <c r="G747" s="8"/>
      <c r="H747" s="8"/>
      <c r="I747" s="8"/>
    </row>
    <row r="748" spans="1:9" ht="30" x14ac:dyDescent="0.25">
      <c r="A748" s="72" t="s">
        <v>1228</v>
      </c>
      <c r="B748" s="73" t="s">
        <v>1227</v>
      </c>
      <c r="C748" s="72" t="s">
        <v>9</v>
      </c>
      <c r="D748" s="65">
        <v>94.090991480877278</v>
      </c>
      <c r="E748" s="65">
        <v>93.780421849648448</v>
      </c>
      <c r="F748" s="65">
        <v>96.414922656960883</v>
      </c>
      <c r="G748" s="65">
        <v>96.55</v>
      </c>
      <c r="H748" s="65">
        <v>93.4</v>
      </c>
      <c r="I748" s="65">
        <v>96.7</v>
      </c>
    </row>
    <row r="749" spans="1:9" ht="60" hidden="1" customHeight="1" x14ac:dyDescent="0.25">
      <c r="A749" s="72" t="s">
        <v>1240</v>
      </c>
      <c r="B749" s="73" t="s">
        <v>1241</v>
      </c>
      <c r="C749" s="75"/>
      <c r="D749" s="74"/>
      <c r="E749" s="74"/>
      <c r="F749" s="74"/>
      <c r="G749" s="74"/>
      <c r="H749" s="74"/>
      <c r="I749" s="74"/>
    </row>
    <row r="750" spans="1:9" ht="30" hidden="1" customHeight="1" x14ac:dyDescent="0.25">
      <c r="A750" s="72"/>
      <c r="B750" s="73" t="s">
        <v>1315</v>
      </c>
      <c r="C750" s="75" t="s">
        <v>9</v>
      </c>
      <c r="D750" s="65">
        <v>7.61</v>
      </c>
      <c r="E750" s="65">
        <v>37.33</v>
      </c>
      <c r="F750" s="65">
        <v>0</v>
      </c>
      <c r="G750" s="65">
        <v>0</v>
      </c>
      <c r="H750" s="65">
        <v>0</v>
      </c>
      <c r="I750" s="65">
        <v>0</v>
      </c>
    </row>
    <row r="751" spans="1:9" ht="30" hidden="1" customHeight="1" x14ac:dyDescent="0.25">
      <c r="A751" s="72"/>
      <c r="B751" s="73" t="s">
        <v>1316</v>
      </c>
      <c r="C751" s="75" t="s">
        <v>9</v>
      </c>
      <c r="D751" s="65">
        <v>30.31</v>
      </c>
      <c r="E751" s="65">
        <v>34.049999999999997</v>
      </c>
      <c r="F751" s="65">
        <v>0</v>
      </c>
      <c r="G751" s="65">
        <v>0</v>
      </c>
      <c r="H751" s="65">
        <v>0</v>
      </c>
      <c r="I751" s="65">
        <v>0</v>
      </c>
    </row>
    <row r="752" spans="1:9" ht="30" hidden="1" customHeight="1" x14ac:dyDescent="0.25">
      <c r="A752" s="72"/>
      <c r="B752" s="73" t="s">
        <v>1317</v>
      </c>
      <c r="C752" s="75" t="s">
        <v>9</v>
      </c>
      <c r="D752" s="65">
        <v>36.090000000000003</v>
      </c>
      <c r="E752" s="65">
        <v>3.44</v>
      </c>
      <c r="F752" s="65">
        <v>0</v>
      </c>
      <c r="G752" s="65">
        <v>0</v>
      </c>
      <c r="H752" s="65">
        <v>0</v>
      </c>
      <c r="I752" s="65">
        <v>0</v>
      </c>
    </row>
    <row r="753" spans="1:9" ht="15" hidden="1" customHeight="1" x14ac:dyDescent="0.25">
      <c r="A753" s="72"/>
      <c r="B753" s="73" t="s">
        <v>1318</v>
      </c>
      <c r="C753" s="75" t="s">
        <v>9</v>
      </c>
      <c r="D753" s="65">
        <v>23.92</v>
      </c>
      <c r="E753" s="65">
        <v>23.27</v>
      </c>
      <c r="F753" s="65">
        <v>0</v>
      </c>
      <c r="G753" s="65">
        <v>0</v>
      </c>
      <c r="H753" s="65">
        <v>0</v>
      </c>
      <c r="I753" s="65">
        <v>0</v>
      </c>
    </row>
    <row r="754" spans="1:9" ht="30" hidden="1" customHeight="1" x14ac:dyDescent="0.25">
      <c r="A754" s="72"/>
      <c r="B754" s="73" t="s">
        <v>1319</v>
      </c>
      <c r="C754" s="75" t="s">
        <v>9</v>
      </c>
      <c r="D754" s="65">
        <v>2.0699999999999998</v>
      </c>
      <c r="E754" s="65">
        <v>1.9</v>
      </c>
      <c r="F754" s="65">
        <v>0</v>
      </c>
      <c r="G754" s="65">
        <v>0</v>
      </c>
      <c r="H754" s="65">
        <v>0</v>
      </c>
      <c r="I754" s="65">
        <v>0</v>
      </c>
    </row>
    <row r="755" spans="1:9" ht="30" hidden="1" customHeight="1" x14ac:dyDescent="0.25">
      <c r="A755" s="35"/>
      <c r="B755" s="73" t="s">
        <v>1320</v>
      </c>
      <c r="C755" s="75" t="s">
        <v>9</v>
      </c>
      <c r="D755" s="65">
        <v>0</v>
      </c>
      <c r="E755" s="65">
        <v>0</v>
      </c>
      <c r="F755" s="65">
        <v>0</v>
      </c>
      <c r="G755" s="65">
        <v>0</v>
      </c>
      <c r="H755" s="65">
        <v>0</v>
      </c>
      <c r="I755" s="65">
        <v>0</v>
      </c>
    </row>
    <row r="756" spans="1:9" ht="30" hidden="1" customHeight="1" x14ac:dyDescent="0.25">
      <c r="A756" s="99" t="s">
        <v>1248</v>
      </c>
      <c r="B756" s="100" t="s">
        <v>1249</v>
      </c>
      <c r="C756" s="88"/>
      <c r="D756" s="111"/>
      <c r="E756" s="111"/>
      <c r="F756" s="111"/>
      <c r="G756" s="111"/>
      <c r="H756" s="111"/>
      <c r="I756" s="111"/>
    </row>
    <row r="757" spans="1:9" ht="45" hidden="1" customHeight="1" x14ac:dyDescent="0.25">
      <c r="A757" s="11" t="s">
        <v>1251</v>
      </c>
      <c r="B757" s="64" t="s">
        <v>1448</v>
      </c>
      <c r="C757" s="11" t="s">
        <v>9</v>
      </c>
      <c r="D757" s="111"/>
      <c r="E757" s="111"/>
      <c r="F757" s="111"/>
      <c r="G757" s="111"/>
      <c r="H757" s="111"/>
      <c r="I757" s="111"/>
    </row>
    <row r="758" spans="1:9" ht="15" hidden="1" customHeight="1" x14ac:dyDescent="0.25">
      <c r="A758" s="99" t="s">
        <v>1254</v>
      </c>
      <c r="B758" s="100" t="s">
        <v>1255</v>
      </c>
      <c r="C758" s="88"/>
      <c r="D758" s="111"/>
      <c r="E758" s="111"/>
      <c r="F758" s="111"/>
      <c r="G758" s="111"/>
      <c r="H758" s="111"/>
      <c r="I758" s="111"/>
    </row>
    <row r="759" spans="1:9" ht="45" hidden="1" customHeight="1" x14ac:dyDescent="0.25">
      <c r="A759" s="11" t="s">
        <v>1257</v>
      </c>
      <c r="B759" s="64" t="s">
        <v>1449</v>
      </c>
      <c r="C759" s="11" t="s">
        <v>9</v>
      </c>
      <c r="D759" s="111"/>
      <c r="E759" s="111"/>
      <c r="F759" s="111"/>
      <c r="G759" s="111"/>
      <c r="H759" s="111"/>
      <c r="I759" s="111"/>
    </row>
    <row r="760" spans="1:9" ht="45" hidden="1" customHeight="1" x14ac:dyDescent="0.25">
      <c r="A760" s="99" t="s">
        <v>1261</v>
      </c>
      <c r="B760" s="100" t="s">
        <v>1262</v>
      </c>
      <c r="C760" s="88"/>
      <c r="D760" s="111"/>
      <c r="E760" s="111"/>
      <c r="F760" s="111"/>
      <c r="G760" s="111"/>
      <c r="H760" s="111"/>
      <c r="I760" s="111"/>
    </row>
    <row r="761" spans="1:9" ht="75" hidden="1" customHeight="1" x14ac:dyDescent="0.25">
      <c r="A761" s="11" t="s">
        <v>1263</v>
      </c>
      <c r="B761" s="64" t="s">
        <v>1450</v>
      </c>
      <c r="C761" s="11" t="s">
        <v>9</v>
      </c>
      <c r="D761" s="111"/>
      <c r="E761" s="111"/>
      <c r="F761" s="111"/>
      <c r="G761" s="111"/>
      <c r="H761" s="111"/>
      <c r="I761" s="111"/>
    </row>
    <row r="762" spans="1:9" ht="15" customHeight="1" x14ac:dyDescent="0.25">
      <c r="A762" s="138" t="s">
        <v>1451</v>
      </c>
      <c r="B762" s="138"/>
      <c r="C762" s="138"/>
      <c r="D762" s="138"/>
      <c r="E762" s="138"/>
      <c r="F762" s="138"/>
      <c r="G762" s="138"/>
      <c r="H762" s="138"/>
      <c r="I762" s="138"/>
    </row>
    <row r="763" spans="1:9" ht="15" customHeight="1" x14ac:dyDescent="0.25">
      <c r="A763" s="138" t="s">
        <v>1452</v>
      </c>
      <c r="B763" s="138"/>
      <c r="C763" s="138"/>
      <c r="D763" s="138"/>
      <c r="E763" s="138"/>
      <c r="F763" s="138"/>
      <c r="G763" s="138"/>
      <c r="H763" s="138"/>
      <c r="I763" s="138"/>
    </row>
    <row r="764" spans="1:9" ht="47.25" customHeight="1" x14ac:dyDescent="0.25">
      <c r="A764" s="138" t="s">
        <v>1453</v>
      </c>
      <c r="B764" s="138"/>
      <c r="C764" s="138"/>
      <c r="D764" s="138"/>
      <c r="E764" s="138"/>
      <c r="F764" s="138"/>
      <c r="G764" s="138"/>
      <c r="H764" s="138"/>
      <c r="I764" s="138"/>
    </row>
    <row r="765" spans="1:9" ht="15" customHeight="1" x14ac:dyDescent="0.25">
      <c r="A765" s="138" t="s">
        <v>1454</v>
      </c>
      <c r="B765" s="138"/>
      <c r="C765" s="138"/>
      <c r="D765" s="138"/>
      <c r="E765" s="138"/>
      <c r="F765" s="138"/>
      <c r="G765" s="138"/>
      <c r="H765" s="138"/>
      <c r="I765" s="138"/>
    </row>
    <row r="766" spans="1:9" ht="15" customHeight="1" x14ac:dyDescent="0.25">
      <c r="A766" s="138" t="s">
        <v>1455</v>
      </c>
      <c r="B766" s="138"/>
      <c r="C766" s="138"/>
      <c r="D766" s="138"/>
      <c r="E766" s="138"/>
      <c r="F766" s="138"/>
      <c r="G766" s="138"/>
      <c r="H766" s="138"/>
      <c r="I766" s="138"/>
    </row>
  </sheetData>
  <pageMargins left="0.7" right="0.7" top="0.75" bottom="0.75" header="0.3" footer="0.3"/>
  <pageSetup paperSize="9" scale="45" orientation="portrait" r:id="rId1"/>
  <rowBreaks count="2" manualBreakCount="2">
    <brk id="142" max="8" man="1"/>
    <brk id="2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3:K291"/>
  <sheetViews>
    <sheetView topLeftCell="A252" zoomScaleNormal="100" zoomScaleSheetLayoutView="100" workbookViewId="0">
      <selection activeCell="J264" sqref="J264"/>
    </sheetView>
  </sheetViews>
  <sheetFormatPr defaultRowHeight="15" x14ac:dyDescent="0.25"/>
  <cols>
    <col min="1" max="1" width="10.140625" style="169" bestFit="1" customWidth="1"/>
    <col min="2" max="2" width="75.140625" style="169" customWidth="1"/>
    <col min="3" max="3" width="16.5703125" style="169" customWidth="1"/>
    <col min="4" max="4" width="13.42578125" style="169" customWidth="1"/>
    <col min="5" max="5" width="11.85546875" style="169" customWidth="1"/>
    <col min="6" max="6" width="12.28515625" style="169" customWidth="1"/>
    <col min="7" max="10" width="12" style="169" customWidth="1"/>
    <col min="11" max="11" width="41.85546875" style="169" customWidth="1"/>
    <col min="12" max="16384" width="9.140625" style="169"/>
  </cols>
  <sheetData>
    <row r="3" spans="1:11" ht="18.75" x14ac:dyDescent="0.3">
      <c r="A3" s="398" t="s">
        <v>0</v>
      </c>
      <c r="B3" s="398"/>
      <c r="C3" s="398"/>
      <c r="D3" s="398"/>
      <c r="E3" s="398"/>
      <c r="F3" s="398"/>
      <c r="G3" s="398"/>
      <c r="H3" s="398"/>
      <c r="I3" s="398"/>
      <c r="J3" s="216"/>
      <c r="K3" s="215"/>
    </row>
    <row r="4" spans="1:11" ht="18.75" x14ac:dyDescent="0.3">
      <c r="A4" s="398" t="s">
        <v>1</v>
      </c>
      <c r="B4" s="398"/>
      <c r="C4" s="398"/>
      <c r="D4" s="398"/>
      <c r="E4" s="398"/>
      <c r="F4" s="398"/>
      <c r="G4" s="398"/>
      <c r="H4" s="398"/>
      <c r="I4" s="398"/>
      <c r="J4" s="216"/>
      <c r="K4" s="216"/>
    </row>
    <row r="5" spans="1:11" x14ac:dyDescent="0.25">
      <c r="A5" s="217"/>
      <c r="B5" s="217"/>
      <c r="C5" s="217"/>
      <c r="D5" s="217"/>
      <c r="E5" s="217"/>
      <c r="F5" s="217"/>
      <c r="G5" s="217"/>
      <c r="H5" s="217"/>
      <c r="I5" s="217"/>
      <c r="J5" s="217"/>
      <c r="K5" s="217"/>
    </row>
    <row r="6" spans="1:11" ht="57" x14ac:dyDescent="0.25">
      <c r="A6" s="218" t="s">
        <v>6</v>
      </c>
      <c r="B6" s="218" t="s">
        <v>380</v>
      </c>
      <c r="C6" s="219" t="s">
        <v>10</v>
      </c>
      <c r="D6" s="219" t="s">
        <v>11</v>
      </c>
      <c r="E6" s="219" t="s">
        <v>1494</v>
      </c>
      <c r="F6" s="219" t="s">
        <v>1495</v>
      </c>
      <c r="G6" s="219" t="s">
        <v>1516</v>
      </c>
      <c r="H6" s="219" t="s">
        <v>1583</v>
      </c>
      <c r="I6" s="333" t="s">
        <v>1584</v>
      </c>
      <c r="J6" s="219" t="s">
        <v>1743</v>
      </c>
      <c r="K6" s="220" t="s">
        <v>12</v>
      </c>
    </row>
    <row r="7" spans="1:11" x14ac:dyDescent="0.25">
      <c r="A7" s="395" t="s">
        <v>3</v>
      </c>
      <c r="B7" s="395"/>
      <c r="C7" s="395"/>
      <c r="D7" s="395"/>
      <c r="E7" s="395"/>
      <c r="F7" s="395"/>
      <c r="G7" s="395"/>
      <c r="H7" s="395"/>
      <c r="I7" s="396"/>
      <c r="J7" s="221"/>
    </row>
    <row r="8" spans="1:11" x14ac:dyDescent="0.25">
      <c r="A8" s="396" t="s">
        <v>4</v>
      </c>
      <c r="B8" s="397"/>
      <c r="C8" s="397"/>
      <c r="D8" s="397"/>
      <c r="E8" s="397"/>
      <c r="F8" s="397"/>
      <c r="G8" s="397"/>
      <c r="H8" s="397"/>
      <c r="I8" s="397"/>
      <c r="J8" s="221"/>
    </row>
    <row r="9" spans="1:11" s="225" customFormat="1" ht="28.5" x14ac:dyDescent="0.25">
      <c r="A9" s="222" t="s">
        <v>7</v>
      </c>
      <c r="B9" s="223" t="s">
        <v>5</v>
      </c>
      <c r="C9" s="209"/>
      <c r="D9" s="224"/>
      <c r="E9" s="224"/>
      <c r="F9" s="224"/>
      <c r="G9" s="224"/>
      <c r="H9" s="224"/>
      <c r="I9" s="334"/>
      <c r="J9" s="224"/>
    </row>
    <row r="10" spans="1:11" s="225" customFormat="1" ht="135" x14ac:dyDescent="0.25">
      <c r="A10" s="189" t="s">
        <v>2</v>
      </c>
      <c r="B10" s="168" t="s">
        <v>1652</v>
      </c>
      <c r="C10" s="168"/>
      <c r="D10" s="226" t="s">
        <v>9</v>
      </c>
      <c r="E10" s="227">
        <f>E11</f>
        <v>98.865877712031562</v>
      </c>
      <c r="F10" s="227">
        <f t="shared" ref="F10:H10" si="0">F11</f>
        <v>98.905283198476909</v>
      </c>
      <c r="G10" s="227">
        <f t="shared" si="0"/>
        <v>83.638488507985969</v>
      </c>
      <c r="H10" s="227">
        <f t="shared" si="0"/>
        <v>91.444539982803093</v>
      </c>
      <c r="I10" s="335">
        <f>I11</f>
        <v>91.837644959857272</v>
      </c>
      <c r="J10" s="227">
        <f>J11</f>
        <v>95.172740179839082</v>
      </c>
      <c r="K10" s="228" t="s">
        <v>13</v>
      </c>
    </row>
    <row r="11" spans="1:11" s="225" customFormat="1" x14ac:dyDescent="0.25">
      <c r="A11" s="189"/>
      <c r="B11" s="168" t="s">
        <v>1705</v>
      </c>
      <c r="C11" s="168"/>
      <c r="D11" s="189"/>
      <c r="E11" s="194">
        <f>E14/(E14+E17)*100</f>
        <v>98.865877712031562</v>
      </c>
      <c r="F11" s="194">
        <f t="shared" ref="F11:I11" si="1">F14/(F14+F17)*100</f>
        <v>98.905283198476909</v>
      </c>
      <c r="G11" s="194">
        <f t="shared" si="1"/>
        <v>83.638488507985969</v>
      </c>
      <c r="H11" s="194">
        <f t="shared" si="1"/>
        <v>91.444539982803093</v>
      </c>
      <c r="I11" s="325">
        <f t="shared" si="1"/>
        <v>91.837644959857272</v>
      </c>
      <c r="J11" s="194">
        <f>J14/(J14+J17)*100</f>
        <v>95.172740179839082</v>
      </c>
      <c r="K11" s="228"/>
    </row>
    <row r="12" spans="1:11" s="225" customFormat="1" x14ac:dyDescent="0.25">
      <c r="A12" s="189"/>
      <c r="B12" s="168" t="s">
        <v>1706</v>
      </c>
      <c r="C12" s="168"/>
      <c r="D12" s="189"/>
      <c r="E12" s="194">
        <f>E15/(E15+E17)*100</f>
        <v>93.00911854103343</v>
      </c>
      <c r="F12" s="194">
        <f t="shared" ref="F12:J12" si="2">F15/(F15+F17)*100</f>
        <v>93.783783783783775</v>
      </c>
      <c r="G12" s="194">
        <f t="shared" si="2"/>
        <v>47.169811320754718</v>
      </c>
      <c r="H12" s="194">
        <f t="shared" si="2"/>
        <v>68.0064308681672</v>
      </c>
      <c r="I12" s="325">
        <f t="shared" si="2"/>
        <v>67.086330935251809</v>
      </c>
      <c r="J12" s="194">
        <f t="shared" si="2"/>
        <v>74.5</v>
      </c>
      <c r="K12" s="228"/>
    </row>
    <row r="13" spans="1:11" s="225" customFormat="1" x14ac:dyDescent="0.25">
      <c r="A13" s="189"/>
      <c r="B13" s="168" t="s">
        <v>1707</v>
      </c>
      <c r="C13" s="168"/>
      <c r="D13" s="189"/>
      <c r="E13" s="194">
        <f>E14/E14*100</f>
        <v>100</v>
      </c>
      <c r="F13" s="194">
        <f t="shared" ref="F13:J13" si="3">F14/F14*100</f>
        <v>100</v>
      </c>
      <c r="G13" s="194">
        <f t="shared" si="3"/>
        <v>100</v>
      </c>
      <c r="H13" s="194">
        <f t="shared" si="3"/>
        <v>100</v>
      </c>
      <c r="I13" s="325">
        <f t="shared" si="3"/>
        <v>100</v>
      </c>
      <c r="J13" s="194">
        <f t="shared" si="3"/>
        <v>100</v>
      </c>
      <c r="K13" s="228"/>
    </row>
    <row r="14" spans="1:11" ht="30" x14ac:dyDescent="0.25">
      <c r="A14" s="195"/>
      <c r="B14" s="229" t="s">
        <v>1653</v>
      </c>
      <c r="C14" s="230"/>
      <c r="D14" s="195" t="s">
        <v>1076</v>
      </c>
      <c r="E14" s="194">
        <v>2005</v>
      </c>
      <c r="F14" s="194">
        <v>2078</v>
      </c>
      <c r="G14" s="194">
        <v>2147</v>
      </c>
      <c r="H14" s="194">
        <v>2127</v>
      </c>
      <c r="I14" s="325">
        <v>2059</v>
      </c>
      <c r="J14" s="194">
        <v>2011</v>
      </c>
      <c r="K14" s="231"/>
    </row>
    <row r="15" spans="1:11" ht="30" x14ac:dyDescent="0.25">
      <c r="A15" s="195"/>
      <c r="B15" s="229" t="s">
        <v>1654</v>
      </c>
      <c r="C15" s="230"/>
      <c r="D15" s="195"/>
      <c r="E15" s="194">
        <f>57+249</f>
        <v>306</v>
      </c>
      <c r="F15" s="194">
        <f>48+299</f>
        <v>347</v>
      </c>
      <c r="G15" s="194">
        <f>65+310</f>
        <v>375</v>
      </c>
      <c r="H15" s="194">
        <f>66+357</f>
        <v>423</v>
      </c>
      <c r="I15" s="325">
        <f>74+299</f>
        <v>373</v>
      </c>
      <c r="J15" s="194">
        <v>298</v>
      </c>
      <c r="K15" s="231"/>
    </row>
    <row r="16" spans="1:11" ht="30" x14ac:dyDescent="0.25">
      <c r="A16" s="195"/>
      <c r="B16" s="229" t="s">
        <v>1655</v>
      </c>
      <c r="C16" s="230"/>
      <c r="D16" s="195"/>
      <c r="E16" s="194">
        <f>E14-E15</f>
        <v>1699</v>
      </c>
      <c r="F16" s="194">
        <f t="shared" ref="F16:I16" si="4">F14-F15</f>
        <v>1731</v>
      </c>
      <c r="G16" s="194">
        <f t="shared" si="4"/>
        <v>1772</v>
      </c>
      <c r="H16" s="194">
        <f t="shared" si="4"/>
        <v>1704</v>
      </c>
      <c r="I16" s="325">
        <f t="shared" si="4"/>
        <v>1686</v>
      </c>
      <c r="J16" s="194">
        <v>1713</v>
      </c>
      <c r="K16" s="231"/>
    </row>
    <row r="17" spans="1:11" ht="27" customHeight="1" x14ac:dyDescent="0.25">
      <c r="A17" s="399"/>
      <c r="B17" s="229" t="s">
        <v>1713</v>
      </c>
      <c r="C17" s="402" t="s">
        <v>1714</v>
      </c>
      <c r="D17" s="402" t="s">
        <v>1076</v>
      </c>
      <c r="E17" s="190">
        <f>E18+E19</f>
        <v>23</v>
      </c>
      <c r="F17" s="190">
        <f>F18+F19</f>
        <v>23</v>
      </c>
      <c r="G17" s="190">
        <f>G18+G19</f>
        <v>420</v>
      </c>
      <c r="H17" s="190">
        <f t="shared" ref="H17:I17" si="5">H18+H19</f>
        <v>199</v>
      </c>
      <c r="I17" s="330">
        <f t="shared" si="5"/>
        <v>183</v>
      </c>
      <c r="J17" s="190">
        <v>102</v>
      </c>
    </row>
    <row r="18" spans="1:11" x14ac:dyDescent="0.25">
      <c r="A18" s="400"/>
      <c r="B18" s="232" t="s">
        <v>1334</v>
      </c>
      <c r="C18" s="403"/>
      <c r="D18" s="403"/>
      <c r="E18" s="190">
        <v>23</v>
      </c>
      <c r="F18" s="190">
        <v>23</v>
      </c>
      <c r="G18" s="190">
        <v>420</v>
      </c>
      <c r="H18" s="190">
        <v>199</v>
      </c>
      <c r="I18" s="330">
        <v>183</v>
      </c>
      <c r="J18" s="190">
        <v>102</v>
      </c>
      <c r="K18" s="233"/>
    </row>
    <row r="19" spans="1:11" x14ac:dyDescent="0.25">
      <c r="A19" s="401"/>
      <c r="B19" s="234" t="s">
        <v>1336</v>
      </c>
      <c r="C19" s="404"/>
      <c r="D19" s="404"/>
      <c r="E19" s="190">
        <v>0</v>
      </c>
      <c r="F19" s="190">
        <v>0</v>
      </c>
      <c r="G19" s="190">
        <v>0</v>
      </c>
      <c r="H19" s="190">
        <v>0</v>
      </c>
      <c r="I19" s="330">
        <v>0</v>
      </c>
      <c r="J19" s="190"/>
      <c r="K19" s="233"/>
    </row>
    <row r="20" spans="1:11" ht="75" x14ac:dyDescent="0.25">
      <c r="A20" s="189" t="s">
        <v>15</v>
      </c>
      <c r="B20" s="209" t="s">
        <v>1708</v>
      </c>
      <c r="C20" s="224"/>
      <c r="D20" s="208" t="s">
        <v>9</v>
      </c>
      <c r="E20" s="235">
        <f>E14/E23*100</f>
        <v>53.638309256286789</v>
      </c>
      <c r="F20" s="235">
        <f t="shared" ref="F20:J20" si="6">F14/F23*100</f>
        <v>63.084395871281117</v>
      </c>
      <c r="G20" s="235">
        <f t="shared" si="6"/>
        <v>59.342177998894421</v>
      </c>
      <c r="H20" s="235">
        <f t="shared" si="6"/>
        <v>66.241046402989724</v>
      </c>
      <c r="I20" s="336">
        <f t="shared" si="6"/>
        <v>65.740740740740748</v>
      </c>
      <c r="J20" s="235">
        <f t="shared" si="6"/>
        <v>65.377113133940185</v>
      </c>
      <c r="K20" s="231"/>
    </row>
    <row r="21" spans="1:11" ht="75" x14ac:dyDescent="0.25">
      <c r="A21" s="236"/>
      <c r="B21" s="209" t="s">
        <v>1656</v>
      </c>
      <c r="C21" s="237"/>
      <c r="D21" s="208" t="s">
        <v>9</v>
      </c>
      <c r="E21" s="235">
        <f>E15/E24*100</f>
        <v>21.732954545454543</v>
      </c>
      <c r="F21" s="235">
        <f t="shared" ref="F21:J21" si="7">F15/F24*100</f>
        <v>25.054151624548737</v>
      </c>
      <c r="G21" s="235">
        <f t="shared" si="7"/>
        <v>25.475543478260871</v>
      </c>
      <c r="H21" s="235">
        <f t="shared" si="7"/>
        <v>30.585683297180044</v>
      </c>
      <c r="I21" s="336">
        <f t="shared" si="7"/>
        <v>28.670253651037665</v>
      </c>
      <c r="J21" s="235">
        <f t="shared" si="7"/>
        <v>27.981220657276996</v>
      </c>
      <c r="K21" s="231"/>
    </row>
    <row r="22" spans="1:11" ht="75" x14ac:dyDescent="0.25">
      <c r="A22" s="236"/>
      <c r="B22" s="209" t="s">
        <v>1657</v>
      </c>
      <c r="C22" s="237"/>
      <c r="D22" s="208" t="s">
        <v>9</v>
      </c>
      <c r="E22" s="235">
        <f>E16/E25*100</f>
        <v>72.918454935622307</v>
      </c>
      <c r="F22" s="235">
        <f t="shared" ref="F22:I22" si="8">F16/F25*100</f>
        <v>90.675746464117339</v>
      </c>
      <c r="G22" s="235">
        <f t="shared" si="8"/>
        <v>82.572227399813599</v>
      </c>
      <c r="H22" s="235">
        <f t="shared" si="8"/>
        <v>93.216630196936549</v>
      </c>
      <c r="I22" s="336">
        <f t="shared" si="8"/>
        <v>92.080830147460404</v>
      </c>
      <c r="J22" s="235">
        <f>J16/J25*100</f>
        <v>85.181501740427649</v>
      </c>
      <c r="K22" s="231"/>
    </row>
    <row r="23" spans="1:11" ht="60" x14ac:dyDescent="0.25">
      <c r="A23" s="236"/>
      <c r="B23" s="238" t="s">
        <v>18</v>
      </c>
      <c r="C23" s="389" t="s">
        <v>19</v>
      </c>
      <c r="D23" s="389" t="s">
        <v>1076</v>
      </c>
      <c r="E23" s="166">
        <v>3738</v>
      </c>
      <c r="F23" s="166">
        <v>3294</v>
      </c>
      <c r="G23" s="166">
        <v>3618</v>
      </c>
      <c r="H23" s="166">
        <f>H24+H25</f>
        <v>3211</v>
      </c>
      <c r="I23" s="337">
        <v>3132</v>
      </c>
      <c r="J23" s="190">
        <f>J24+J25</f>
        <v>3076</v>
      </c>
      <c r="K23" s="231"/>
    </row>
    <row r="24" spans="1:11" ht="30" x14ac:dyDescent="0.25">
      <c r="A24" s="236"/>
      <c r="B24" s="238" t="s">
        <v>1654</v>
      </c>
      <c r="C24" s="390"/>
      <c r="D24" s="390"/>
      <c r="E24" s="166">
        <v>1408</v>
      </c>
      <c r="F24" s="166">
        <v>1385</v>
      </c>
      <c r="G24" s="166">
        <v>1472</v>
      </c>
      <c r="H24" s="166">
        <v>1383</v>
      </c>
      <c r="I24" s="337">
        <v>1301</v>
      </c>
      <c r="J24" s="190">
        <v>1065</v>
      </c>
      <c r="K24" s="231"/>
    </row>
    <row r="25" spans="1:11" ht="30" x14ac:dyDescent="0.25">
      <c r="A25" s="236"/>
      <c r="B25" s="238" t="s">
        <v>1655</v>
      </c>
      <c r="C25" s="391"/>
      <c r="D25" s="391"/>
      <c r="E25" s="166">
        <f>E23-E24</f>
        <v>2330</v>
      </c>
      <c r="F25" s="166">
        <f t="shared" ref="F25:I25" si="9">F23-F24</f>
        <v>1909</v>
      </c>
      <c r="G25" s="166">
        <f t="shared" si="9"/>
        <v>2146</v>
      </c>
      <c r="H25" s="166">
        <v>1828</v>
      </c>
      <c r="I25" s="337">
        <f t="shared" si="9"/>
        <v>1831</v>
      </c>
      <c r="J25" s="166">
        <v>2011</v>
      </c>
      <c r="K25" s="231"/>
    </row>
    <row r="26" spans="1:11" ht="80.25" customHeight="1" x14ac:dyDescent="0.25">
      <c r="A26" s="208" t="s">
        <v>21</v>
      </c>
      <c r="B26" s="209" t="s">
        <v>1658</v>
      </c>
      <c r="C26" s="224"/>
      <c r="D26" s="208" t="s">
        <v>9</v>
      </c>
      <c r="E26" s="235">
        <f t="shared" ref="E26:H26" si="10">E27/E28*100</f>
        <v>0</v>
      </c>
      <c r="F26" s="235">
        <f t="shared" si="10"/>
        <v>0</v>
      </c>
      <c r="G26" s="235">
        <f t="shared" si="10"/>
        <v>0</v>
      </c>
      <c r="H26" s="235">
        <f t="shared" si="10"/>
        <v>0.61118946873530799</v>
      </c>
      <c r="I26" s="336">
        <f>I27/I28*100</f>
        <v>0.48567265662943176</v>
      </c>
      <c r="J26" s="235">
        <f>J27/J28*100</f>
        <v>0.5469915464942815</v>
      </c>
      <c r="K26" s="231" t="s">
        <v>24</v>
      </c>
    </row>
    <row r="27" spans="1:11" ht="45" x14ac:dyDescent="0.25">
      <c r="A27" s="224"/>
      <c r="B27" s="209" t="s">
        <v>22</v>
      </c>
      <c r="C27" s="208" t="s">
        <v>17</v>
      </c>
      <c r="D27" s="208" t="s">
        <v>1076</v>
      </c>
      <c r="E27" s="163">
        <v>0</v>
      </c>
      <c r="F27" s="163">
        <v>0</v>
      </c>
      <c r="G27" s="163">
        <v>0</v>
      </c>
      <c r="H27" s="163">
        <v>13</v>
      </c>
      <c r="I27" s="338">
        <v>10</v>
      </c>
      <c r="J27" s="163">
        <v>11</v>
      </c>
    </row>
    <row r="28" spans="1:11" ht="47.25" customHeight="1" x14ac:dyDescent="0.25">
      <c r="A28" s="224"/>
      <c r="B28" s="209" t="s">
        <v>23</v>
      </c>
      <c r="C28" s="208" t="s">
        <v>17</v>
      </c>
      <c r="D28" s="208" t="s">
        <v>1076</v>
      </c>
      <c r="E28" s="163">
        <v>2005</v>
      </c>
      <c r="F28" s="163">
        <v>2078</v>
      </c>
      <c r="G28" s="163">
        <v>2147</v>
      </c>
      <c r="H28" s="163">
        <v>2127</v>
      </c>
      <c r="I28" s="338">
        <v>2059</v>
      </c>
      <c r="J28" s="163">
        <v>2011</v>
      </c>
      <c r="K28" s="239"/>
    </row>
    <row r="29" spans="1:11" ht="45" x14ac:dyDescent="0.25">
      <c r="A29" s="240" t="s">
        <v>1659</v>
      </c>
      <c r="B29" s="209" t="s">
        <v>1660</v>
      </c>
      <c r="C29" s="208"/>
      <c r="D29" s="208" t="s">
        <v>1076</v>
      </c>
      <c r="E29" s="163"/>
      <c r="F29" s="163"/>
      <c r="G29" s="163"/>
      <c r="H29" s="163"/>
      <c r="I29" s="338"/>
      <c r="J29" s="163"/>
      <c r="K29" s="239"/>
    </row>
    <row r="30" spans="1:11" x14ac:dyDescent="0.25">
      <c r="A30" s="240"/>
      <c r="B30" s="209" t="s">
        <v>1661</v>
      </c>
      <c r="C30" s="208"/>
      <c r="D30" s="208" t="s">
        <v>1076</v>
      </c>
      <c r="E30" s="163">
        <v>0</v>
      </c>
      <c r="F30" s="163">
        <v>0</v>
      </c>
      <c r="G30" s="163">
        <v>0</v>
      </c>
      <c r="H30" s="163">
        <v>0</v>
      </c>
      <c r="I30" s="338">
        <v>0</v>
      </c>
      <c r="J30" s="163">
        <v>11.3</v>
      </c>
      <c r="K30" s="239"/>
    </row>
    <row r="31" spans="1:11" x14ac:dyDescent="0.25">
      <c r="A31" s="240"/>
      <c r="B31" s="209" t="s">
        <v>1662</v>
      </c>
      <c r="C31" s="208"/>
      <c r="D31" s="208" t="s">
        <v>1076</v>
      </c>
      <c r="E31" s="163">
        <f>E28/91</f>
        <v>22.032967032967033</v>
      </c>
      <c r="F31" s="163">
        <f>F28/92</f>
        <v>22.586956521739129</v>
      </c>
      <c r="G31" s="163">
        <f>G28/91</f>
        <v>23.593406593406595</v>
      </c>
      <c r="H31" s="163">
        <f>H28/93</f>
        <v>22.870967741935484</v>
      </c>
      <c r="I31" s="338">
        <f>I28/94</f>
        <v>21.904255319148938</v>
      </c>
      <c r="J31" s="190">
        <v>23</v>
      </c>
      <c r="K31" s="239"/>
    </row>
    <row r="32" spans="1:11" x14ac:dyDescent="0.25">
      <c r="A32" s="240"/>
      <c r="B32" s="209" t="s">
        <v>1663</v>
      </c>
      <c r="C32" s="208"/>
      <c r="D32" s="208" t="s">
        <v>1076</v>
      </c>
      <c r="E32" s="163">
        <v>0</v>
      </c>
      <c r="F32" s="163">
        <v>0</v>
      </c>
      <c r="G32" s="163">
        <v>0</v>
      </c>
      <c r="H32" s="163">
        <v>0</v>
      </c>
      <c r="I32" s="338">
        <v>0</v>
      </c>
      <c r="J32" s="163">
        <v>15</v>
      </c>
      <c r="K32" s="239"/>
    </row>
    <row r="33" spans="1:11" x14ac:dyDescent="0.25">
      <c r="A33" s="240"/>
      <c r="B33" s="209" t="s">
        <v>1664</v>
      </c>
      <c r="C33" s="208"/>
      <c r="D33" s="208" t="s">
        <v>1076</v>
      </c>
      <c r="E33" s="163">
        <v>0</v>
      </c>
      <c r="F33" s="163">
        <v>0</v>
      </c>
      <c r="G33" s="163">
        <v>0</v>
      </c>
      <c r="H33" s="163">
        <v>0</v>
      </c>
      <c r="I33" s="338">
        <v>0</v>
      </c>
      <c r="J33" s="163">
        <v>0</v>
      </c>
      <c r="K33" s="239"/>
    </row>
    <row r="34" spans="1:11" ht="60" x14ac:dyDescent="0.25">
      <c r="A34" s="240" t="s">
        <v>1665</v>
      </c>
      <c r="B34" s="209" t="s">
        <v>1666</v>
      </c>
      <c r="C34" s="208"/>
      <c r="D34" s="208" t="s">
        <v>1076</v>
      </c>
      <c r="E34" s="163">
        <v>0</v>
      </c>
      <c r="F34" s="163">
        <v>0</v>
      </c>
      <c r="G34" s="163">
        <v>0</v>
      </c>
      <c r="H34" s="163">
        <v>0</v>
      </c>
      <c r="I34" s="338">
        <v>0</v>
      </c>
      <c r="J34" s="163">
        <v>0</v>
      </c>
      <c r="K34" s="239"/>
    </row>
    <row r="35" spans="1:11" x14ac:dyDescent="0.25">
      <c r="A35" s="240"/>
      <c r="B35" s="209" t="s">
        <v>1668</v>
      </c>
      <c r="C35" s="208"/>
      <c r="D35" s="208" t="s">
        <v>1076</v>
      </c>
      <c r="E35" s="163">
        <v>0</v>
      </c>
      <c r="F35" s="163">
        <v>0</v>
      </c>
      <c r="G35" s="163">
        <v>0</v>
      </c>
      <c r="H35" s="163">
        <v>0</v>
      </c>
      <c r="I35" s="338">
        <v>0</v>
      </c>
      <c r="J35" s="163">
        <v>0</v>
      </c>
      <c r="K35" s="239"/>
    </row>
    <row r="36" spans="1:11" x14ac:dyDescent="0.25">
      <c r="A36" s="240"/>
      <c r="B36" s="209" t="s">
        <v>1667</v>
      </c>
      <c r="C36" s="208"/>
      <c r="D36" s="208" t="s">
        <v>1076</v>
      </c>
      <c r="E36" s="163">
        <v>0</v>
      </c>
      <c r="F36" s="163">
        <v>0</v>
      </c>
      <c r="G36" s="163">
        <v>0</v>
      </c>
      <c r="H36" s="163">
        <v>0</v>
      </c>
      <c r="I36" s="338">
        <v>0</v>
      </c>
      <c r="J36" s="163">
        <v>0</v>
      </c>
      <c r="K36" s="239"/>
    </row>
    <row r="37" spans="1:11" ht="42.75" x14ac:dyDescent="0.25">
      <c r="A37" s="222" t="s">
        <v>26</v>
      </c>
      <c r="B37" s="223" t="s">
        <v>25</v>
      </c>
      <c r="C37" s="224"/>
      <c r="D37" s="208"/>
      <c r="E37" s="241"/>
      <c r="F37" s="241"/>
      <c r="G37" s="241"/>
      <c r="H37" s="241"/>
      <c r="I37" s="339"/>
      <c r="J37" s="241"/>
    </row>
    <row r="38" spans="1:11" ht="105" x14ac:dyDescent="0.25">
      <c r="A38" s="208" t="s">
        <v>27</v>
      </c>
      <c r="B38" s="209" t="s">
        <v>1669</v>
      </c>
      <c r="C38" s="208"/>
      <c r="D38" s="208" t="s">
        <v>9</v>
      </c>
      <c r="E38" s="242"/>
      <c r="F38" s="242"/>
      <c r="G38" s="242"/>
      <c r="H38" s="242"/>
      <c r="I38" s="340"/>
      <c r="J38" s="242"/>
      <c r="K38" s="231" t="s">
        <v>28</v>
      </c>
    </row>
    <row r="39" spans="1:11" x14ac:dyDescent="0.25">
      <c r="A39" s="208"/>
      <c r="B39" s="209" t="s">
        <v>1661</v>
      </c>
      <c r="C39" s="208"/>
      <c r="D39" s="208" t="s">
        <v>9</v>
      </c>
      <c r="E39" s="242">
        <v>0</v>
      </c>
      <c r="F39" s="242">
        <v>0</v>
      </c>
      <c r="G39" s="242">
        <v>0</v>
      </c>
      <c r="H39" s="242">
        <v>0</v>
      </c>
      <c r="I39" s="340">
        <v>0</v>
      </c>
      <c r="J39" s="242">
        <v>2.2000000000000002</v>
      </c>
      <c r="K39" s="231"/>
    </row>
    <row r="40" spans="1:11" x14ac:dyDescent="0.25">
      <c r="A40" s="208"/>
      <c r="B40" s="209" t="s">
        <v>1662</v>
      </c>
      <c r="C40" s="208"/>
      <c r="D40" s="208" t="s">
        <v>9</v>
      </c>
      <c r="E40" s="242">
        <v>100</v>
      </c>
      <c r="F40" s="242">
        <v>100</v>
      </c>
      <c r="G40" s="242">
        <v>100</v>
      </c>
      <c r="H40" s="242">
        <v>100</v>
      </c>
      <c r="I40" s="340">
        <v>100</v>
      </c>
      <c r="J40" s="242">
        <v>90</v>
      </c>
      <c r="K40" s="231"/>
    </row>
    <row r="41" spans="1:11" x14ac:dyDescent="0.25">
      <c r="A41" s="208"/>
      <c r="B41" s="209" t="s">
        <v>1670</v>
      </c>
      <c r="C41" s="208"/>
      <c r="D41" s="208" t="s">
        <v>9</v>
      </c>
      <c r="E41" s="163">
        <v>0</v>
      </c>
      <c r="F41" s="163">
        <v>0</v>
      </c>
      <c r="G41" s="163">
        <v>0</v>
      </c>
      <c r="H41" s="163">
        <v>0</v>
      </c>
      <c r="I41" s="338">
        <v>0</v>
      </c>
      <c r="J41" s="163">
        <v>0</v>
      </c>
      <c r="K41" s="231"/>
    </row>
    <row r="42" spans="1:11" x14ac:dyDescent="0.25">
      <c r="A42" s="208"/>
      <c r="B42" s="209" t="s">
        <v>1663</v>
      </c>
      <c r="C42" s="208"/>
      <c r="D42" s="208" t="s">
        <v>9</v>
      </c>
      <c r="E42" s="163">
        <v>0</v>
      </c>
      <c r="F42" s="163">
        <v>0</v>
      </c>
      <c r="G42" s="163">
        <v>0</v>
      </c>
      <c r="H42" s="163">
        <v>0</v>
      </c>
      <c r="I42" s="338">
        <v>0</v>
      </c>
      <c r="J42" s="163">
        <v>0.7</v>
      </c>
      <c r="K42" s="231"/>
    </row>
    <row r="43" spans="1:11" x14ac:dyDescent="0.25">
      <c r="A43" s="208"/>
      <c r="B43" s="209" t="s">
        <v>1671</v>
      </c>
      <c r="C43" s="208"/>
      <c r="D43" s="208" t="s">
        <v>9</v>
      </c>
      <c r="E43" s="163">
        <v>0</v>
      </c>
      <c r="F43" s="163">
        <v>0</v>
      </c>
      <c r="G43" s="163">
        <v>0</v>
      </c>
      <c r="H43" s="163">
        <v>0</v>
      </c>
      <c r="I43" s="338">
        <v>0</v>
      </c>
      <c r="J43" s="163">
        <v>0</v>
      </c>
      <c r="K43" s="231"/>
    </row>
    <row r="44" spans="1:11" x14ac:dyDescent="0.25">
      <c r="A44" s="208"/>
      <c r="B44" s="209"/>
      <c r="C44" s="208"/>
      <c r="D44" s="208"/>
      <c r="E44" s="163"/>
      <c r="F44" s="163"/>
      <c r="G44" s="163"/>
      <c r="H44" s="163"/>
      <c r="I44" s="338"/>
      <c r="J44" s="163"/>
      <c r="K44" s="231"/>
    </row>
    <row r="45" spans="1:11" s="225" customFormat="1" ht="30" customHeight="1" x14ac:dyDescent="0.25">
      <c r="A45" s="222" t="s">
        <v>30</v>
      </c>
      <c r="B45" s="223" t="s">
        <v>29</v>
      </c>
      <c r="C45" s="224"/>
      <c r="D45" s="224"/>
      <c r="E45" s="224"/>
      <c r="F45" s="224"/>
      <c r="G45" s="224"/>
      <c r="H45" s="224"/>
      <c r="I45" s="334"/>
      <c r="J45" s="224"/>
    </row>
    <row r="46" spans="1:11" ht="30" x14ac:dyDescent="0.25">
      <c r="A46" s="208" t="s">
        <v>33</v>
      </c>
      <c r="B46" s="209" t="s">
        <v>31</v>
      </c>
      <c r="C46" s="224"/>
      <c r="D46" s="208"/>
      <c r="E46" s="242"/>
      <c r="F46" s="242"/>
      <c r="G46" s="242"/>
      <c r="H46" s="242"/>
      <c r="I46" s="340"/>
      <c r="J46" s="242"/>
      <c r="K46" s="231" t="s">
        <v>28</v>
      </c>
    </row>
    <row r="47" spans="1:11" x14ac:dyDescent="0.25">
      <c r="A47" s="208"/>
      <c r="B47" s="209" t="s">
        <v>1333</v>
      </c>
      <c r="C47" s="224"/>
      <c r="D47" s="208" t="s">
        <v>1076</v>
      </c>
      <c r="E47" s="242">
        <f t="shared" ref="E47:J47" si="11">E54/E61</f>
        <v>8.5683760683760681</v>
      </c>
      <c r="F47" s="242">
        <f t="shared" si="11"/>
        <v>8.995670995670995</v>
      </c>
      <c r="G47" s="242">
        <f t="shared" si="11"/>
        <v>9.5</v>
      </c>
      <c r="H47" s="242">
        <f t="shared" si="11"/>
        <v>9.3539823008849563</v>
      </c>
      <c r="I47" s="340">
        <f t="shared" si="11"/>
        <v>9.2297297297297298</v>
      </c>
      <c r="J47" s="242">
        <f t="shared" si="11"/>
        <v>8.8982300884955752</v>
      </c>
      <c r="K47" s="231"/>
    </row>
    <row r="48" spans="1:11" x14ac:dyDescent="0.25">
      <c r="A48" s="208"/>
      <c r="B48" s="209" t="s">
        <v>1334</v>
      </c>
      <c r="C48" s="209"/>
      <c r="D48" s="208" t="s">
        <v>1076</v>
      </c>
      <c r="E48" s="242">
        <f t="shared" ref="E48:F52" si="12">E55/E62</f>
        <v>8.9847328244274802</v>
      </c>
      <c r="F48" s="242">
        <f t="shared" si="12"/>
        <v>9.4728682170542644</v>
      </c>
      <c r="G48" s="242">
        <f t="shared" ref="G48:I48" si="13">G55/G62</f>
        <v>10</v>
      </c>
      <c r="H48" s="242">
        <f t="shared" ref="H48" si="14">H55/H62</f>
        <v>9.7804878048780495</v>
      </c>
      <c r="I48" s="340">
        <f t="shared" si="13"/>
        <v>9.4462809917355379</v>
      </c>
      <c r="J48" s="242">
        <v>8.81</v>
      </c>
      <c r="K48" s="231"/>
    </row>
    <row r="49" spans="1:11" x14ac:dyDescent="0.25">
      <c r="A49" s="208"/>
      <c r="B49" s="209" t="s">
        <v>1336</v>
      </c>
      <c r="C49" s="209"/>
      <c r="D49" s="208" t="s">
        <v>1076</v>
      </c>
      <c r="E49" s="242">
        <f t="shared" si="12"/>
        <v>8.0388349514563107</v>
      </c>
      <c r="F49" s="242">
        <f t="shared" si="12"/>
        <v>8.3921568627450984</v>
      </c>
      <c r="G49" s="242">
        <f t="shared" ref="G49:I49" si="15">G56/G63</f>
        <v>8.9029126213592225</v>
      </c>
      <c r="H49" s="242">
        <f t="shared" ref="H49" si="16">H56/H63</f>
        <v>9.11</v>
      </c>
      <c r="I49" s="340">
        <f t="shared" si="15"/>
        <v>8.9702970297029712</v>
      </c>
      <c r="J49" s="242">
        <v>9.01</v>
      </c>
      <c r="K49" s="231"/>
    </row>
    <row r="50" spans="1:11" x14ac:dyDescent="0.25">
      <c r="A50" s="208"/>
      <c r="B50" s="209" t="s">
        <v>1335</v>
      </c>
      <c r="C50" s="209"/>
      <c r="D50" s="208" t="s">
        <v>1076</v>
      </c>
      <c r="E50" s="242" t="e">
        <f t="shared" si="12"/>
        <v>#DIV/0!</v>
      </c>
      <c r="F50" s="242" t="e">
        <f t="shared" si="12"/>
        <v>#DIV/0!</v>
      </c>
      <c r="G50" s="242" t="e">
        <f t="shared" ref="G50:I50" si="17">G57/G64</f>
        <v>#DIV/0!</v>
      </c>
      <c r="H50" s="242">
        <f t="shared" ref="H50" si="18">H57/H64</f>
        <v>13</v>
      </c>
      <c r="I50" s="340">
        <f t="shared" si="17"/>
        <v>10</v>
      </c>
      <c r="J50" s="242">
        <f t="shared" ref="J50" si="19">J57/J64</f>
        <v>11</v>
      </c>
      <c r="K50" s="231"/>
    </row>
    <row r="51" spans="1:11" x14ac:dyDescent="0.25">
      <c r="A51" s="208"/>
      <c r="B51" s="209" t="s">
        <v>1334</v>
      </c>
      <c r="C51" s="209"/>
      <c r="D51" s="208" t="s">
        <v>1076</v>
      </c>
      <c r="E51" s="242" t="e">
        <f t="shared" si="12"/>
        <v>#DIV/0!</v>
      </c>
      <c r="F51" s="242" t="e">
        <f t="shared" si="12"/>
        <v>#DIV/0!</v>
      </c>
      <c r="G51" s="242" t="e">
        <f t="shared" ref="G51:I51" si="20">G58/G65</f>
        <v>#DIV/0!</v>
      </c>
      <c r="H51" s="242">
        <f t="shared" ref="H51" si="21">H58/H65</f>
        <v>13</v>
      </c>
      <c r="I51" s="340">
        <f t="shared" si="20"/>
        <v>10</v>
      </c>
      <c r="J51" s="242">
        <f>J58/J65</f>
        <v>11</v>
      </c>
      <c r="K51" s="231"/>
    </row>
    <row r="52" spans="1:11" x14ac:dyDescent="0.25">
      <c r="A52" s="208"/>
      <c r="B52" s="209" t="s">
        <v>1336</v>
      </c>
      <c r="C52" s="209"/>
      <c r="D52" s="208" t="s">
        <v>1076</v>
      </c>
      <c r="E52" s="242" t="e">
        <f t="shared" si="12"/>
        <v>#DIV/0!</v>
      </c>
      <c r="F52" s="242" t="e">
        <f t="shared" si="12"/>
        <v>#DIV/0!</v>
      </c>
      <c r="G52" s="242" t="e">
        <f t="shared" ref="G52:I52" si="22">G59/G66</f>
        <v>#DIV/0!</v>
      </c>
      <c r="H52" s="242" t="e">
        <f t="shared" ref="H52" si="23">H59/H66</f>
        <v>#DIV/0!</v>
      </c>
      <c r="I52" s="340" t="e">
        <f t="shared" si="22"/>
        <v>#DIV/0!</v>
      </c>
      <c r="J52" s="242" t="e">
        <f t="shared" ref="J52" si="24">J59/J66</f>
        <v>#DIV/0!</v>
      </c>
      <c r="K52" s="231"/>
    </row>
    <row r="53" spans="1:11" ht="45" x14ac:dyDescent="0.25">
      <c r="A53" s="224"/>
      <c r="B53" s="243" t="s">
        <v>16</v>
      </c>
      <c r="C53" s="208"/>
      <c r="D53" s="208"/>
      <c r="E53" s="163"/>
      <c r="F53" s="163"/>
      <c r="G53" s="163"/>
      <c r="H53" s="163"/>
      <c r="I53" s="338"/>
      <c r="J53" s="163"/>
      <c r="K53" s="239"/>
    </row>
    <row r="54" spans="1:11" x14ac:dyDescent="0.25">
      <c r="A54" s="392"/>
      <c r="B54" s="238" t="s">
        <v>1333</v>
      </c>
      <c r="C54" s="389" t="s">
        <v>17</v>
      </c>
      <c r="D54" s="389" t="s">
        <v>1076</v>
      </c>
      <c r="E54" s="166">
        <f t="shared" ref="E54:J54" si="25">E55+E56</f>
        <v>2005</v>
      </c>
      <c r="F54" s="166">
        <f t="shared" si="25"/>
        <v>2078</v>
      </c>
      <c r="G54" s="166">
        <f t="shared" si="25"/>
        <v>2147</v>
      </c>
      <c r="H54" s="166">
        <f t="shared" si="25"/>
        <v>2114</v>
      </c>
      <c r="I54" s="337">
        <f t="shared" si="25"/>
        <v>2049</v>
      </c>
      <c r="J54" s="166">
        <f t="shared" si="25"/>
        <v>2011</v>
      </c>
      <c r="K54" s="239"/>
    </row>
    <row r="55" spans="1:11" x14ac:dyDescent="0.25">
      <c r="A55" s="393"/>
      <c r="B55" s="244" t="s">
        <v>1334</v>
      </c>
      <c r="C55" s="390"/>
      <c r="D55" s="390"/>
      <c r="E55" s="166">
        <v>1177</v>
      </c>
      <c r="F55" s="166">
        <v>1222</v>
      </c>
      <c r="G55" s="166">
        <v>1230</v>
      </c>
      <c r="H55" s="166">
        <f>1216-H57</f>
        <v>1203</v>
      </c>
      <c r="I55" s="337">
        <f>1153-I57</f>
        <v>1143</v>
      </c>
      <c r="J55" s="166">
        <v>1119</v>
      </c>
      <c r="K55" s="239"/>
    </row>
    <row r="56" spans="1:11" x14ac:dyDescent="0.25">
      <c r="A56" s="394"/>
      <c r="B56" s="245" t="s">
        <v>1336</v>
      </c>
      <c r="C56" s="391"/>
      <c r="D56" s="391"/>
      <c r="E56" s="166">
        <v>828</v>
      </c>
      <c r="F56" s="166">
        <v>856</v>
      </c>
      <c r="G56" s="166">
        <v>917</v>
      </c>
      <c r="H56" s="166">
        <v>911</v>
      </c>
      <c r="I56" s="337">
        <v>906</v>
      </c>
      <c r="J56" s="166">
        <v>892</v>
      </c>
    </row>
    <row r="57" spans="1:11" x14ac:dyDescent="0.25">
      <c r="A57" s="392"/>
      <c r="B57" s="238" t="s">
        <v>1335</v>
      </c>
      <c r="C57" s="389" t="s">
        <v>17</v>
      </c>
      <c r="D57" s="389" t="s">
        <v>1076</v>
      </c>
      <c r="E57" s="166">
        <f>E58+E59</f>
        <v>0</v>
      </c>
      <c r="F57" s="166">
        <f>F58+F59</f>
        <v>0</v>
      </c>
      <c r="G57" s="166">
        <f>G58+G59</f>
        <v>0</v>
      </c>
      <c r="H57" s="166">
        <v>13</v>
      </c>
      <c r="I57" s="337">
        <v>10</v>
      </c>
      <c r="J57" s="166">
        <v>11</v>
      </c>
    </row>
    <row r="58" spans="1:11" x14ac:dyDescent="0.25">
      <c r="A58" s="393"/>
      <c r="B58" s="244" t="s">
        <v>1334</v>
      </c>
      <c r="C58" s="390"/>
      <c r="D58" s="390"/>
      <c r="E58" s="166">
        <v>0</v>
      </c>
      <c r="F58" s="166">
        <v>0</v>
      </c>
      <c r="G58" s="166">
        <v>0</v>
      </c>
      <c r="H58" s="166">
        <v>13</v>
      </c>
      <c r="I58" s="337">
        <v>10</v>
      </c>
      <c r="J58" s="166">
        <v>11</v>
      </c>
    </row>
    <row r="59" spans="1:11" x14ac:dyDescent="0.25">
      <c r="A59" s="394"/>
      <c r="B59" s="245" t="s">
        <v>1336</v>
      </c>
      <c r="C59" s="391"/>
      <c r="D59" s="391"/>
      <c r="E59" s="166">
        <v>0</v>
      </c>
      <c r="F59" s="166">
        <v>0</v>
      </c>
      <c r="G59" s="166">
        <v>0</v>
      </c>
      <c r="H59" s="166">
        <v>0</v>
      </c>
      <c r="I59" s="337">
        <v>0</v>
      </c>
      <c r="J59" s="166">
        <v>0</v>
      </c>
    </row>
    <row r="60" spans="1:11" ht="45" x14ac:dyDescent="0.25">
      <c r="A60" s="167"/>
      <c r="B60" s="246" t="s">
        <v>34</v>
      </c>
      <c r="C60" s="158"/>
      <c r="D60" s="158"/>
      <c r="E60" s="166"/>
      <c r="F60" s="166"/>
      <c r="G60" s="166"/>
      <c r="H60" s="166"/>
      <c r="I60" s="337"/>
      <c r="J60" s="166"/>
    </row>
    <row r="61" spans="1:11" x14ac:dyDescent="0.25">
      <c r="A61" s="392"/>
      <c r="B61" s="238" t="s">
        <v>1333</v>
      </c>
      <c r="C61" s="389" t="s">
        <v>35</v>
      </c>
      <c r="D61" s="389" t="s">
        <v>1076</v>
      </c>
      <c r="E61" s="166">
        <f>E62+E63</f>
        <v>234</v>
      </c>
      <c r="F61" s="166">
        <f>F62+F63</f>
        <v>231</v>
      </c>
      <c r="G61" s="166">
        <f>G62+G63</f>
        <v>226</v>
      </c>
      <c r="H61" s="166">
        <v>226</v>
      </c>
      <c r="I61" s="337">
        <v>222</v>
      </c>
      <c r="J61" s="166">
        <f>J62+J63</f>
        <v>226</v>
      </c>
    </row>
    <row r="62" spans="1:11" x14ac:dyDescent="0.25">
      <c r="A62" s="393"/>
      <c r="B62" s="244" t="s">
        <v>1334</v>
      </c>
      <c r="C62" s="390"/>
      <c r="D62" s="390"/>
      <c r="E62" s="159">
        <v>131</v>
      </c>
      <c r="F62" s="159">
        <v>129</v>
      </c>
      <c r="G62" s="166">
        <v>123</v>
      </c>
      <c r="H62" s="166">
        <v>123</v>
      </c>
      <c r="I62" s="337">
        <v>121</v>
      </c>
      <c r="J62" s="166">
        <v>127</v>
      </c>
    </row>
    <row r="63" spans="1:11" x14ac:dyDescent="0.25">
      <c r="A63" s="394"/>
      <c r="B63" s="245" t="s">
        <v>1336</v>
      </c>
      <c r="C63" s="391"/>
      <c r="D63" s="391"/>
      <c r="E63" s="166">
        <v>103</v>
      </c>
      <c r="F63" s="166">
        <v>102</v>
      </c>
      <c r="G63" s="166">
        <v>103</v>
      </c>
      <c r="H63" s="166">
        <v>100</v>
      </c>
      <c r="I63" s="337">
        <v>101</v>
      </c>
      <c r="J63" s="166">
        <v>99</v>
      </c>
    </row>
    <row r="64" spans="1:11" x14ac:dyDescent="0.25">
      <c r="A64" s="392"/>
      <c r="B64" s="238" t="s">
        <v>1335</v>
      </c>
      <c r="C64" s="389" t="s">
        <v>35</v>
      </c>
      <c r="D64" s="389" t="s">
        <v>1076</v>
      </c>
      <c r="E64" s="166">
        <f>E65+E66</f>
        <v>0</v>
      </c>
      <c r="F64" s="166">
        <f>F65+F66</f>
        <v>0</v>
      </c>
      <c r="G64" s="166">
        <f>G65+G66</f>
        <v>0</v>
      </c>
      <c r="H64" s="166">
        <v>1</v>
      </c>
      <c r="I64" s="337">
        <v>1</v>
      </c>
      <c r="J64" s="166">
        <v>1</v>
      </c>
    </row>
    <row r="65" spans="1:11" x14ac:dyDescent="0.25">
      <c r="A65" s="393"/>
      <c r="B65" s="244" t="s">
        <v>1334</v>
      </c>
      <c r="C65" s="390"/>
      <c r="D65" s="390"/>
      <c r="E65" s="166">
        <v>0</v>
      </c>
      <c r="F65" s="166">
        <v>0</v>
      </c>
      <c r="G65" s="166">
        <v>0</v>
      </c>
      <c r="H65" s="166">
        <v>1</v>
      </c>
      <c r="I65" s="337">
        <v>1</v>
      </c>
      <c r="J65" s="166">
        <v>1</v>
      </c>
    </row>
    <row r="66" spans="1:11" x14ac:dyDescent="0.25">
      <c r="A66" s="394"/>
      <c r="B66" s="245" t="s">
        <v>1336</v>
      </c>
      <c r="C66" s="391"/>
      <c r="D66" s="391"/>
      <c r="E66" s="166">
        <v>0</v>
      </c>
      <c r="F66" s="166">
        <v>0</v>
      </c>
      <c r="G66" s="166">
        <v>0</v>
      </c>
      <c r="H66" s="166">
        <v>0</v>
      </c>
      <c r="I66" s="337">
        <v>0</v>
      </c>
      <c r="J66" s="166">
        <v>0</v>
      </c>
    </row>
    <row r="67" spans="1:11" ht="63.75" customHeight="1" x14ac:dyDescent="0.25">
      <c r="A67" s="247" t="s">
        <v>37</v>
      </c>
      <c r="B67" s="245" t="s">
        <v>1673</v>
      </c>
      <c r="C67" s="248"/>
      <c r="D67" s="208"/>
      <c r="E67" s="166"/>
      <c r="F67" s="166"/>
      <c r="G67" s="166"/>
      <c r="H67" s="166"/>
      <c r="I67" s="337"/>
      <c r="J67" s="166"/>
    </row>
    <row r="68" spans="1:11" x14ac:dyDescent="0.25">
      <c r="A68" s="249"/>
      <c r="B68" s="245" t="s">
        <v>1674</v>
      </c>
      <c r="C68" s="248"/>
      <c r="D68" s="208" t="s">
        <v>9</v>
      </c>
      <c r="E68" s="166">
        <f>180/234*100</f>
        <v>76.923076923076934</v>
      </c>
      <c r="F68" s="166">
        <f>179/231*100</f>
        <v>77.489177489177479</v>
      </c>
      <c r="G68" s="166">
        <f>179/226*100</f>
        <v>79.203539823008853</v>
      </c>
      <c r="H68" s="166">
        <f>181/226*100</f>
        <v>80.088495575221245</v>
      </c>
      <c r="I68" s="337">
        <f>180/222*100</f>
        <v>81.081081081081081</v>
      </c>
      <c r="J68" s="166">
        <f>180/226*100</f>
        <v>79.646017699115049</v>
      </c>
    </row>
    <row r="69" spans="1:11" x14ac:dyDescent="0.25">
      <c r="A69" s="249"/>
      <c r="B69" s="245" t="s">
        <v>1675</v>
      </c>
      <c r="C69" s="248"/>
      <c r="D69" s="208" t="s">
        <v>9</v>
      </c>
      <c r="E69" s="166">
        <f>2/234*100</f>
        <v>0.85470085470085477</v>
      </c>
      <c r="F69" s="166">
        <f>2/231*100</f>
        <v>0.86580086580086579</v>
      </c>
      <c r="G69" s="166">
        <f>1/226*100</f>
        <v>0.44247787610619471</v>
      </c>
      <c r="H69" s="166">
        <f>2/226*100</f>
        <v>0.88495575221238942</v>
      </c>
      <c r="I69" s="337">
        <f>2/222*100</f>
        <v>0.90090090090090091</v>
      </c>
      <c r="J69" s="166">
        <f>3/226*100</f>
        <v>1.3274336283185841</v>
      </c>
    </row>
    <row r="70" spans="1:11" x14ac:dyDescent="0.25">
      <c r="A70" s="249"/>
      <c r="B70" s="245" t="s">
        <v>1676</v>
      </c>
      <c r="C70" s="248"/>
      <c r="D70" s="208" t="s">
        <v>9</v>
      </c>
      <c r="E70" s="166">
        <f>13/234*100</f>
        <v>5.5555555555555554</v>
      </c>
      <c r="F70" s="166">
        <f>14/231*100</f>
        <v>6.0606060606060606</v>
      </c>
      <c r="G70" s="166">
        <f>13/226*100</f>
        <v>5.7522123893805306</v>
      </c>
      <c r="H70" s="166">
        <f>15/226*100</f>
        <v>6.6371681415929213</v>
      </c>
      <c r="I70" s="337">
        <f>15/222*100</f>
        <v>6.756756756756757</v>
      </c>
      <c r="J70" s="166">
        <f>14/226*100</f>
        <v>6.1946902654867255</v>
      </c>
    </row>
    <row r="71" spans="1:11" x14ac:dyDescent="0.25">
      <c r="A71" s="249"/>
      <c r="B71" s="245" t="s">
        <v>1677</v>
      </c>
      <c r="C71" s="248"/>
      <c r="D71" s="208" t="s">
        <v>9</v>
      </c>
      <c r="E71" s="166">
        <f>14/234*100</f>
        <v>5.982905982905983</v>
      </c>
      <c r="F71" s="166">
        <f>13/231*100</f>
        <v>5.6277056277056277</v>
      </c>
      <c r="G71" s="166">
        <f>13/226*100</f>
        <v>5.7522123893805306</v>
      </c>
      <c r="H71" s="166">
        <f>11/226*100</f>
        <v>4.8672566371681416</v>
      </c>
      <c r="I71" s="337">
        <f>12/222*100</f>
        <v>5.4054054054054053</v>
      </c>
      <c r="J71" s="166">
        <f>12/226*100</f>
        <v>5.3097345132743365</v>
      </c>
    </row>
    <row r="72" spans="1:11" x14ac:dyDescent="0.25">
      <c r="A72" s="249"/>
      <c r="B72" s="245" t="s">
        <v>1678</v>
      </c>
      <c r="C72" s="248"/>
      <c r="D72" s="208" t="s">
        <v>9</v>
      </c>
      <c r="E72" s="166">
        <f>8/234*100</f>
        <v>3.4188034188034191</v>
      </c>
      <c r="F72" s="166">
        <f>8/231*100</f>
        <v>3.4632034632034632</v>
      </c>
      <c r="G72" s="166">
        <f>8/226*100</f>
        <v>3.5398230088495577</v>
      </c>
      <c r="H72" s="166">
        <f>6/226*100</f>
        <v>2.6548672566371683</v>
      </c>
      <c r="I72" s="337">
        <f>6/222*100</f>
        <v>2.7027027027027026</v>
      </c>
      <c r="J72" s="166">
        <f>7/226*100</f>
        <v>3.0973451327433628</v>
      </c>
    </row>
    <row r="73" spans="1:11" x14ac:dyDescent="0.25">
      <c r="A73" s="249"/>
      <c r="B73" s="245" t="s">
        <v>1679</v>
      </c>
      <c r="C73" s="248"/>
      <c r="D73" s="208" t="s">
        <v>9</v>
      </c>
      <c r="E73" s="166">
        <v>0</v>
      </c>
      <c r="F73" s="166">
        <v>0</v>
      </c>
      <c r="G73" s="166">
        <v>0</v>
      </c>
      <c r="H73" s="166">
        <v>0</v>
      </c>
      <c r="I73" s="337">
        <v>0</v>
      </c>
      <c r="J73" s="166">
        <v>0</v>
      </c>
    </row>
    <row r="74" spans="1:11" x14ac:dyDescent="0.25">
      <c r="A74" s="249"/>
      <c r="B74" s="245" t="s">
        <v>1680</v>
      </c>
      <c r="C74" s="248"/>
      <c r="D74" s="208" t="s">
        <v>9</v>
      </c>
      <c r="E74" s="166">
        <f>4/234*100</f>
        <v>1.7094017094017095</v>
      </c>
      <c r="F74" s="166">
        <f>4/231*100</f>
        <v>1.7316017316017316</v>
      </c>
      <c r="G74" s="166">
        <f>1/226*100</f>
        <v>0.44247787610619471</v>
      </c>
      <c r="H74" s="166">
        <f>2/226*100</f>
        <v>0.88495575221238942</v>
      </c>
      <c r="I74" s="337">
        <f>1/222*100</f>
        <v>0.45045045045045046</v>
      </c>
      <c r="J74" s="166">
        <f>5/226*100</f>
        <v>2.2123893805309733</v>
      </c>
    </row>
    <row r="75" spans="1:11" x14ac:dyDescent="0.25">
      <c r="A75" s="249"/>
      <c r="B75" s="245" t="s">
        <v>1681</v>
      </c>
      <c r="C75" s="248"/>
      <c r="D75" s="208" t="s">
        <v>9</v>
      </c>
      <c r="E75" s="166">
        <v>0</v>
      </c>
      <c r="F75" s="166">
        <v>0</v>
      </c>
      <c r="G75" s="166">
        <v>0</v>
      </c>
      <c r="H75" s="166">
        <v>0</v>
      </c>
      <c r="I75" s="337">
        <v>0</v>
      </c>
      <c r="J75" s="166">
        <v>0</v>
      </c>
    </row>
    <row r="76" spans="1:11" x14ac:dyDescent="0.25">
      <c r="A76" s="249"/>
      <c r="B76" s="245" t="s">
        <v>1682</v>
      </c>
      <c r="C76" s="248"/>
      <c r="D76" s="208" t="s">
        <v>9</v>
      </c>
      <c r="E76" s="166">
        <v>0</v>
      </c>
      <c r="F76" s="166">
        <v>0</v>
      </c>
      <c r="G76" s="166">
        <v>0</v>
      </c>
      <c r="H76" s="166">
        <v>0</v>
      </c>
      <c r="I76" s="337">
        <v>0</v>
      </c>
      <c r="J76" s="166">
        <v>0</v>
      </c>
    </row>
    <row r="77" spans="1:11" x14ac:dyDescent="0.25">
      <c r="A77" s="249"/>
      <c r="B77" s="245" t="s">
        <v>1683</v>
      </c>
      <c r="C77" s="248"/>
      <c r="D77" s="208" t="s">
        <v>9</v>
      </c>
      <c r="E77" s="166">
        <v>0</v>
      </c>
      <c r="F77" s="166">
        <v>0</v>
      </c>
      <c r="G77" s="166">
        <v>0</v>
      </c>
      <c r="H77" s="166">
        <v>0</v>
      </c>
      <c r="I77" s="337">
        <v>0</v>
      </c>
      <c r="J77" s="166">
        <v>0</v>
      </c>
    </row>
    <row r="78" spans="1:11" x14ac:dyDescent="0.25">
      <c r="A78" s="249"/>
      <c r="B78" s="245" t="s">
        <v>1684</v>
      </c>
      <c r="C78" s="248"/>
      <c r="D78" s="208" t="s">
        <v>9</v>
      </c>
      <c r="E78" s="166">
        <f>13/234*100</f>
        <v>5.5555555555555554</v>
      </c>
      <c r="F78" s="166">
        <f>11/231*100</f>
        <v>4.7619047619047619</v>
      </c>
      <c r="G78" s="166">
        <f>11/226*100</f>
        <v>4.8672566371681416</v>
      </c>
      <c r="H78" s="166">
        <f>8/226*100</f>
        <v>3.5398230088495577</v>
      </c>
      <c r="I78" s="337">
        <f>6/222*100</f>
        <v>2.7027027027027026</v>
      </c>
      <c r="J78" s="166">
        <f>5/226*100</f>
        <v>2.2123893805309733</v>
      </c>
    </row>
    <row r="79" spans="1:11" s="225" customFormat="1" ht="60" x14ac:dyDescent="0.25">
      <c r="A79" s="208" t="s">
        <v>1672</v>
      </c>
      <c r="B79" s="209" t="s">
        <v>36</v>
      </c>
      <c r="C79" s="224"/>
      <c r="D79" s="208" t="s">
        <v>9</v>
      </c>
      <c r="E79" s="242" t="e">
        <f t="shared" ref="E79:J79" si="26">((E80/E82)/12*1000)/((E81/E83)/12*1000)*100</f>
        <v>#DIV/0!</v>
      </c>
      <c r="F79" s="242">
        <f t="shared" si="26"/>
        <v>85.180982101038609</v>
      </c>
      <c r="G79" s="242">
        <f t="shared" si="26"/>
        <v>100.43472194718728</v>
      </c>
      <c r="H79" s="242">
        <f t="shared" si="26"/>
        <v>101.18129018862992</v>
      </c>
      <c r="I79" s="340">
        <f t="shared" si="26"/>
        <v>104.73245085284353</v>
      </c>
      <c r="J79" s="242">
        <f t="shared" si="26"/>
        <v>130.08905609394097</v>
      </c>
      <c r="K79" s="228" t="s">
        <v>46</v>
      </c>
    </row>
    <row r="80" spans="1:11" ht="60" x14ac:dyDescent="0.25">
      <c r="A80" s="167"/>
      <c r="B80" s="250" t="s">
        <v>38</v>
      </c>
      <c r="C80" s="158" t="s">
        <v>39</v>
      </c>
      <c r="D80" s="158" t="s">
        <v>1270</v>
      </c>
      <c r="E80" s="251"/>
      <c r="F80" s="251">
        <v>124015</v>
      </c>
      <c r="G80" s="162">
        <v>135991</v>
      </c>
      <c r="H80" s="162">
        <f>17604.4+117850.5</f>
        <v>135454.9</v>
      </c>
      <c r="I80" s="322">
        <v>138042.4</v>
      </c>
      <c r="J80" s="162">
        <v>136230.45000000001</v>
      </c>
    </row>
    <row r="81" spans="1:11" ht="75" x14ac:dyDescent="0.25">
      <c r="A81" s="167"/>
      <c r="B81" s="250" t="s">
        <v>40</v>
      </c>
      <c r="C81" s="158" t="s">
        <v>41</v>
      </c>
      <c r="D81" s="158" t="s">
        <v>1270</v>
      </c>
      <c r="E81" s="251"/>
      <c r="F81" s="251">
        <v>353479</v>
      </c>
      <c r="G81" s="162">
        <v>355602.2</v>
      </c>
      <c r="H81" s="162">
        <v>351935.4</v>
      </c>
      <c r="I81" s="322">
        <v>358840.3</v>
      </c>
      <c r="J81" s="162">
        <v>286886.59999999998</v>
      </c>
    </row>
    <row r="82" spans="1:11" ht="45" x14ac:dyDescent="0.25">
      <c r="A82" s="167"/>
      <c r="B82" s="250" t="s">
        <v>42</v>
      </c>
      <c r="C82" s="158" t="s">
        <v>43</v>
      </c>
      <c r="D82" s="158" t="s">
        <v>1076</v>
      </c>
      <c r="E82" s="251"/>
      <c r="F82" s="251">
        <v>215</v>
      </c>
      <c r="G82" s="162">
        <v>198</v>
      </c>
      <c r="H82" s="162">
        <v>194</v>
      </c>
      <c r="I82" s="322">
        <v>191</v>
      </c>
      <c r="J82" s="162">
        <v>215</v>
      </c>
    </row>
    <row r="83" spans="1:11" ht="60" x14ac:dyDescent="0.25">
      <c r="A83" s="167"/>
      <c r="B83" s="250" t="s">
        <v>44</v>
      </c>
      <c r="C83" s="158" t="s">
        <v>45</v>
      </c>
      <c r="D83" s="158" t="s">
        <v>1076</v>
      </c>
      <c r="E83" s="251"/>
      <c r="F83" s="251">
        <v>522</v>
      </c>
      <c r="G83" s="162">
        <v>520</v>
      </c>
      <c r="H83" s="162">
        <v>510</v>
      </c>
      <c r="I83" s="322">
        <v>520</v>
      </c>
      <c r="J83" s="162">
        <v>589</v>
      </c>
    </row>
    <row r="84" spans="1:11" ht="28.5" x14ac:dyDescent="0.25">
      <c r="A84" s="222" t="s">
        <v>48</v>
      </c>
      <c r="B84" s="223" t="s">
        <v>47</v>
      </c>
      <c r="C84" s="224"/>
      <c r="D84" s="208"/>
      <c r="E84" s="224"/>
      <c r="F84" s="224"/>
      <c r="G84" s="224"/>
      <c r="H84" s="224"/>
      <c r="I84" s="334"/>
      <c r="J84" s="224"/>
    </row>
    <row r="85" spans="1:11" ht="30" x14ac:dyDescent="0.25">
      <c r="A85" s="208" t="s">
        <v>50</v>
      </c>
      <c r="B85" s="209" t="s">
        <v>49</v>
      </c>
      <c r="C85" s="208"/>
      <c r="D85" s="208" t="s">
        <v>1267</v>
      </c>
      <c r="E85" s="242"/>
      <c r="F85" s="242"/>
      <c r="G85" s="242"/>
      <c r="H85" s="242"/>
      <c r="I85" s="340"/>
      <c r="J85" s="242"/>
      <c r="K85" s="231" t="s">
        <v>28</v>
      </c>
    </row>
    <row r="86" spans="1:11" x14ac:dyDescent="0.25">
      <c r="A86" s="236"/>
      <c r="B86" s="209" t="s">
        <v>1333</v>
      </c>
      <c r="C86" s="405" t="s">
        <v>1337</v>
      </c>
      <c r="D86" s="405" t="s">
        <v>1267</v>
      </c>
      <c r="E86" s="242">
        <f t="shared" ref="E86:G87" si="27">(E93-E99)/E106</f>
        <v>9.1012468827930171</v>
      </c>
      <c r="F86" s="242">
        <f t="shared" si="27"/>
        <v>8.1963426371511066</v>
      </c>
      <c r="G86" s="242">
        <f t="shared" si="27"/>
        <v>7.9445738239403818</v>
      </c>
      <c r="H86" s="242">
        <f t="shared" ref="H86:J86" si="28">(H93-H99)/H106</f>
        <v>8.0148060548722793</v>
      </c>
      <c r="I86" s="340">
        <f t="shared" si="28"/>
        <v>8.4839433870180567</v>
      </c>
      <c r="J86" s="242">
        <f t="shared" si="28"/>
        <v>9.8585778219791145</v>
      </c>
      <c r="K86" s="231"/>
    </row>
    <row r="87" spans="1:11" x14ac:dyDescent="0.25">
      <c r="A87" s="236"/>
      <c r="B87" s="209" t="s">
        <v>1334</v>
      </c>
      <c r="C87" s="406"/>
      <c r="D87" s="406"/>
      <c r="E87" s="242">
        <f t="shared" si="27"/>
        <v>8.3271028037383186</v>
      </c>
      <c r="F87" s="242">
        <f t="shared" si="27"/>
        <v>8.0204582651391156</v>
      </c>
      <c r="G87" s="242">
        <f t="shared" si="27"/>
        <v>7.9886178861788615</v>
      </c>
      <c r="H87" s="242">
        <f t="shared" ref="H87:J87" si="29">(H94-H100)/H107</f>
        <v>8.1997506234413962</v>
      </c>
      <c r="I87" s="340">
        <f t="shared" si="29"/>
        <v>8.6301837270341206</v>
      </c>
      <c r="J87" s="242">
        <f t="shared" si="29"/>
        <v>8.7379803395889173</v>
      </c>
      <c r="K87" s="231"/>
    </row>
    <row r="88" spans="1:11" x14ac:dyDescent="0.25">
      <c r="A88" s="236"/>
      <c r="B88" s="209" t="s">
        <v>1336</v>
      </c>
      <c r="C88" s="406"/>
      <c r="D88" s="406"/>
      <c r="E88" s="242">
        <f t="shared" ref="E88" si="30">(E95-E101)/E108</f>
        <v>10.201690821256038</v>
      </c>
      <c r="F88" s="242">
        <f t="shared" ref="F88:G88" si="31">(F95-F101)/F108</f>
        <v>8.4474299065420553</v>
      </c>
      <c r="G88" s="242">
        <f t="shared" si="31"/>
        <v>7.885496183206107</v>
      </c>
      <c r="H88" s="242">
        <f t="shared" ref="H88:J88" si="32">(H95-H101)/H108</f>
        <v>7.7705817782656421</v>
      </c>
      <c r="I88" s="340">
        <f t="shared" si="32"/>
        <v>8.2997792494481235</v>
      </c>
      <c r="J88" s="242">
        <f t="shared" si="32"/>
        <v>11.264349775784753</v>
      </c>
      <c r="K88" s="231"/>
    </row>
    <row r="89" spans="1:11" x14ac:dyDescent="0.25">
      <c r="A89" s="236"/>
      <c r="B89" s="209" t="s">
        <v>1335</v>
      </c>
      <c r="C89" s="406"/>
      <c r="D89" s="406"/>
      <c r="E89" s="242" t="e">
        <f t="shared" ref="E89" si="33">(E96-E102)/E109</f>
        <v>#DIV/0!</v>
      </c>
      <c r="F89" s="242" t="e">
        <f t="shared" ref="F89:G89" si="34">(F96-F102)/F109</f>
        <v>#DIV/0!</v>
      </c>
      <c r="G89" s="242" t="e">
        <f t="shared" si="34"/>
        <v>#DIV/0!</v>
      </c>
      <c r="H89" s="242">
        <f t="shared" ref="H89:J89" si="35">(H96-H102)/H109</f>
        <v>7.2153846153846155</v>
      </c>
      <c r="I89" s="340">
        <f t="shared" si="35"/>
        <v>9.379999999999999</v>
      </c>
      <c r="J89" s="242">
        <f t="shared" si="35"/>
        <v>8.545454545454545</v>
      </c>
      <c r="K89" s="231"/>
    </row>
    <row r="90" spans="1:11" x14ac:dyDescent="0.25">
      <c r="A90" s="236"/>
      <c r="B90" s="209" t="s">
        <v>1334</v>
      </c>
      <c r="C90" s="406"/>
      <c r="D90" s="406"/>
      <c r="E90" s="242" t="e">
        <f t="shared" ref="E90" si="36">(E97-E103)/E110</f>
        <v>#DIV/0!</v>
      </c>
      <c r="F90" s="242" t="e">
        <f t="shared" ref="F90:G90" si="37">(F97-F103)/F110</f>
        <v>#DIV/0!</v>
      </c>
      <c r="G90" s="242" t="e">
        <f t="shared" si="37"/>
        <v>#DIV/0!</v>
      </c>
      <c r="H90" s="242">
        <f t="shared" ref="H90:I90" si="38">(H97-H103)/H110</f>
        <v>7.2153846153846155</v>
      </c>
      <c r="I90" s="340">
        <f t="shared" si="38"/>
        <v>9.379999999999999</v>
      </c>
      <c r="J90" s="242">
        <f t="shared" ref="J90" si="39">(J97-J103)/J110</f>
        <v>8.545454545454545</v>
      </c>
      <c r="K90" s="231"/>
    </row>
    <row r="91" spans="1:11" x14ac:dyDescent="0.25">
      <c r="A91" s="236"/>
      <c r="B91" s="209" t="s">
        <v>1336</v>
      </c>
      <c r="C91" s="407"/>
      <c r="D91" s="407"/>
      <c r="E91" s="242" t="e">
        <f t="shared" ref="E91" si="40">(E98-E104)/E111</f>
        <v>#DIV/0!</v>
      </c>
      <c r="F91" s="242" t="e">
        <f t="shared" ref="F91:G91" si="41">(F98-F104)/F111</f>
        <v>#DIV/0!</v>
      </c>
      <c r="G91" s="242" t="e">
        <f t="shared" si="41"/>
        <v>#DIV/0!</v>
      </c>
      <c r="H91" s="242" t="e">
        <f t="shared" ref="H91:I91" si="42">(H98-H104)/H111</f>
        <v>#DIV/0!</v>
      </c>
      <c r="I91" s="340" t="e">
        <f t="shared" si="42"/>
        <v>#DIV/0!</v>
      </c>
      <c r="J91" s="242" t="e">
        <f t="shared" ref="J91" si="43">(J98-J104)/J111</f>
        <v>#DIV/0!</v>
      </c>
      <c r="K91" s="231"/>
    </row>
    <row r="92" spans="1:11" ht="60" x14ac:dyDescent="0.25">
      <c r="A92" s="252"/>
      <c r="B92" s="253" t="s">
        <v>51</v>
      </c>
      <c r="C92" s="158"/>
      <c r="D92" s="158"/>
      <c r="E92" s="166"/>
      <c r="F92" s="166"/>
      <c r="G92" s="166"/>
      <c r="H92" s="166"/>
      <c r="I92" s="337"/>
      <c r="J92" s="166"/>
    </row>
    <row r="93" spans="1:11" x14ac:dyDescent="0.25">
      <c r="A93" s="392"/>
      <c r="B93" s="238" t="s">
        <v>1333</v>
      </c>
      <c r="C93" s="389" t="s">
        <v>52</v>
      </c>
      <c r="D93" s="389" t="s">
        <v>1267</v>
      </c>
      <c r="E93" s="166">
        <f>E94+E95</f>
        <v>18248</v>
      </c>
      <c r="F93" s="166">
        <f>F94+F95</f>
        <v>17032</v>
      </c>
      <c r="G93" s="166">
        <f>G94+G95</f>
        <v>17057</v>
      </c>
      <c r="H93" s="166">
        <v>16943.3</v>
      </c>
      <c r="I93" s="337">
        <v>17383.599999999999</v>
      </c>
      <c r="J93" s="166">
        <f>J94+J95</f>
        <v>19825.599999999999</v>
      </c>
    </row>
    <row r="94" spans="1:11" x14ac:dyDescent="0.25">
      <c r="A94" s="393"/>
      <c r="B94" s="244" t="s">
        <v>1334</v>
      </c>
      <c r="C94" s="390"/>
      <c r="D94" s="390"/>
      <c r="E94" s="166">
        <v>9801</v>
      </c>
      <c r="F94" s="166">
        <v>9801</v>
      </c>
      <c r="G94" s="166">
        <v>9826</v>
      </c>
      <c r="H94" s="166">
        <v>9864.2999999999993</v>
      </c>
      <c r="I94" s="337">
        <v>9864.2999999999993</v>
      </c>
      <c r="J94" s="166">
        <v>9777.7999999999993</v>
      </c>
    </row>
    <row r="95" spans="1:11" x14ac:dyDescent="0.25">
      <c r="A95" s="394"/>
      <c r="B95" s="245" t="s">
        <v>1336</v>
      </c>
      <c r="C95" s="391"/>
      <c r="D95" s="391"/>
      <c r="E95" s="166">
        <v>8447</v>
      </c>
      <c r="F95" s="166">
        <v>7231</v>
      </c>
      <c r="G95" s="166">
        <v>7231</v>
      </c>
      <c r="H95" s="166">
        <v>7079</v>
      </c>
      <c r="I95" s="337">
        <v>7519.6</v>
      </c>
      <c r="J95" s="166">
        <v>10047.799999999999</v>
      </c>
    </row>
    <row r="96" spans="1:11" x14ac:dyDescent="0.25">
      <c r="A96" s="392"/>
      <c r="B96" s="238" t="s">
        <v>1335</v>
      </c>
      <c r="C96" s="389" t="s">
        <v>52</v>
      </c>
      <c r="D96" s="389" t="s">
        <v>1267</v>
      </c>
      <c r="E96" s="166">
        <f>E97+E98</f>
        <v>0</v>
      </c>
      <c r="F96" s="166">
        <f t="shared" ref="F96:G96" si="44">F97+F98</f>
        <v>0</v>
      </c>
      <c r="G96" s="166">
        <f t="shared" si="44"/>
        <v>0</v>
      </c>
      <c r="H96" s="166">
        <v>93.8</v>
      </c>
      <c r="I96" s="337">
        <v>93.8</v>
      </c>
      <c r="J96" s="166">
        <v>94</v>
      </c>
    </row>
    <row r="97" spans="1:11" x14ac:dyDescent="0.25">
      <c r="A97" s="393"/>
      <c r="B97" s="244" t="s">
        <v>1334</v>
      </c>
      <c r="C97" s="390"/>
      <c r="D97" s="390"/>
      <c r="E97" s="166">
        <v>0</v>
      </c>
      <c r="F97" s="166">
        <v>0</v>
      </c>
      <c r="G97" s="166">
        <v>0</v>
      </c>
      <c r="H97" s="166">
        <f>H96</f>
        <v>93.8</v>
      </c>
      <c r="I97" s="337">
        <f>I96</f>
        <v>93.8</v>
      </c>
      <c r="J97" s="166">
        <v>94</v>
      </c>
    </row>
    <row r="98" spans="1:11" x14ac:dyDescent="0.25">
      <c r="A98" s="394"/>
      <c r="B98" s="245" t="s">
        <v>1336</v>
      </c>
      <c r="C98" s="391"/>
      <c r="D98" s="391"/>
      <c r="E98" s="166">
        <v>0</v>
      </c>
      <c r="F98" s="166">
        <v>0</v>
      </c>
      <c r="G98" s="166">
        <v>0</v>
      </c>
      <c r="H98" s="166">
        <v>0</v>
      </c>
      <c r="I98" s="337">
        <v>0</v>
      </c>
      <c r="J98" s="166">
        <v>0</v>
      </c>
    </row>
    <row r="99" spans="1:11" x14ac:dyDescent="0.25">
      <c r="A99" s="392"/>
      <c r="B99" s="238" t="s">
        <v>1333</v>
      </c>
      <c r="C99" s="389" t="s">
        <v>53</v>
      </c>
      <c r="D99" s="389" t="s">
        <v>1267</v>
      </c>
      <c r="E99" s="166"/>
      <c r="F99" s="166"/>
      <c r="G99" s="166"/>
      <c r="H99" s="166"/>
      <c r="I99" s="337"/>
      <c r="J99" s="166"/>
    </row>
    <row r="100" spans="1:11" x14ac:dyDescent="0.25">
      <c r="A100" s="393"/>
      <c r="B100" s="244" t="s">
        <v>1334</v>
      </c>
      <c r="C100" s="390"/>
      <c r="D100" s="390"/>
      <c r="E100" s="166"/>
      <c r="F100" s="166"/>
      <c r="G100" s="166"/>
      <c r="H100" s="166"/>
      <c r="I100" s="337"/>
      <c r="J100" s="166"/>
    </row>
    <row r="101" spans="1:11" x14ac:dyDescent="0.25">
      <c r="A101" s="394"/>
      <c r="B101" s="245" t="s">
        <v>1336</v>
      </c>
      <c r="C101" s="391"/>
      <c r="D101" s="391"/>
      <c r="E101" s="166"/>
      <c r="F101" s="166"/>
      <c r="G101" s="166"/>
      <c r="H101" s="166">
        <v>0</v>
      </c>
      <c r="I101" s="337">
        <v>0</v>
      </c>
      <c r="J101" s="166">
        <v>0</v>
      </c>
    </row>
    <row r="102" spans="1:11" x14ac:dyDescent="0.25">
      <c r="A102" s="392"/>
      <c r="B102" s="238" t="s">
        <v>1335</v>
      </c>
      <c r="C102" s="389" t="s">
        <v>53</v>
      </c>
      <c r="D102" s="389" t="s">
        <v>1267</v>
      </c>
      <c r="E102" s="166">
        <f>E103+E104</f>
        <v>0</v>
      </c>
      <c r="F102" s="166">
        <f t="shared" ref="F102:G102" si="45">F103+F104</f>
        <v>0</v>
      </c>
      <c r="G102" s="166">
        <f t="shared" si="45"/>
        <v>0</v>
      </c>
      <c r="H102" s="166">
        <v>0</v>
      </c>
      <c r="I102" s="337">
        <v>0</v>
      </c>
      <c r="J102" s="166">
        <v>0</v>
      </c>
    </row>
    <row r="103" spans="1:11" x14ac:dyDescent="0.25">
      <c r="A103" s="393"/>
      <c r="B103" s="244" t="s">
        <v>1334</v>
      </c>
      <c r="C103" s="390"/>
      <c r="D103" s="390"/>
      <c r="E103" s="166">
        <v>0</v>
      </c>
      <c r="F103" s="166">
        <v>0</v>
      </c>
      <c r="G103" s="166">
        <v>0</v>
      </c>
      <c r="H103" s="166">
        <v>0</v>
      </c>
      <c r="I103" s="337">
        <v>0</v>
      </c>
      <c r="J103" s="166">
        <v>0</v>
      </c>
    </row>
    <row r="104" spans="1:11" x14ac:dyDescent="0.25">
      <c r="A104" s="394"/>
      <c r="B104" s="245" t="s">
        <v>1336</v>
      </c>
      <c r="C104" s="391"/>
      <c r="D104" s="391"/>
      <c r="E104" s="166">
        <v>0</v>
      </c>
      <c r="F104" s="166">
        <v>0</v>
      </c>
      <c r="G104" s="166">
        <v>0</v>
      </c>
      <c r="H104" s="166">
        <v>0</v>
      </c>
      <c r="I104" s="337">
        <v>0</v>
      </c>
      <c r="J104" s="166">
        <v>0</v>
      </c>
    </row>
    <row r="105" spans="1:11" ht="30" x14ac:dyDescent="0.25">
      <c r="A105" s="167"/>
      <c r="B105" s="254" t="s">
        <v>54</v>
      </c>
      <c r="C105" s="158"/>
      <c r="D105" s="158"/>
      <c r="E105" s="166"/>
      <c r="F105" s="166"/>
      <c r="G105" s="166"/>
      <c r="H105" s="166"/>
      <c r="I105" s="337"/>
      <c r="J105" s="166"/>
      <c r="K105" s="239"/>
    </row>
    <row r="106" spans="1:11" x14ac:dyDescent="0.25">
      <c r="A106" s="392"/>
      <c r="B106" s="238" t="s">
        <v>1333</v>
      </c>
      <c r="C106" s="389" t="s">
        <v>55</v>
      </c>
      <c r="D106" s="389" t="s">
        <v>1076</v>
      </c>
      <c r="E106" s="166">
        <f>E107+E108</f>
        <v>2005</v>
      </c>
      <c r="F106" s="166">
        <f t="shared" ref="F106:G106" si="46">F107+F108</f>
        <v>2078</v>
      </c>
      <c r="G106" s="166">
        <f t="shared" si="46"/>
        <v>2147</v>
      </c>
      <c r="H106" s="190">
        <f>H107+H108</f>
        <v>2114</v>
      </c>
      <c r="I106" s="330">
        <f>I107+I108</f>
        <v>2049</v>
      </c>
      <c r="J106" s="190">
        <f>J107+J108</f>
        <v>2011</v>
      </c>
      <c r="K106" s="239"/>
    </row>
    <row r="107" spans="1:11" x14ac:dyDescent="0.25">
      <c r="A107" s="393"/>
      <c r="B107" s="244" t="s">
        <v>1334</v>
      </c>
      <c r="C107" s="390"/>
      <c r="D107" s="390"/>
      <c r="E107" s="166">
        <v>1177</v>
      </c>
      <c r="F107" s="166">
        <v>1222</v>
      </c>
      <c r="G107" s="166">
        <v>1230</v>
      </c>
      <c r="H107" s="166">
        <f>1216-H109</f>
        <v>1203</v>
      </c>
      <c r="I107" s="337">
        <f>1153-I109</f>
        <v>1143</v>
      </c>
      <c r="J107" s="166">
        <v>1119</v>
      </c>
      <c r="K107" s="239"/>
    </row>
    <row r="108" spans="1:11" x14ac:dyDescent="0.25">
      <c r="A108" s="394"/>
      <c r="B108" s="245" t="s">
        <v>1336</v>
      </c>
      <c r="C108" s="391"/>
      <c r="D108" s="391"/>
      <c r="E108" s="166">
        <v>828</v>
      </c>
      <c r="F108" s="166">
        <v>856</v>
      </c>
      <c r="G108" s="166">
        <v>917</v>
      </c>
      <c r="H108" s="166">
        <v>911</v>
      </c>
      <c r="I108" s="337">
        <v>906</v>
      </c>
      <c r="J108" s="166">
        <v>892</v>
      </c>
      <c r="K108" s="239"/>
    </row>
    <row r="109" spans="1:11" x14ac:dyDescent="0.25">
      <c r="A109" s="392"/>
      <c r="B109" s="238" t="s">
        <v>1335</v>
      </c>
      <c r="C109" s="389" t="s">
        <v>55</v>
      </c>
      <c r="D109" s="389" t="s">
        <v>1076</v>
      </c>
      <c r="E109" s="166">
        <f>E110+E111</f>
        <v>0</v>
      </c>
      <c r="F109" s="166">
        <f>F110+F111</f>
        <v>0</v>
      </c>
      <c r="G109" s="166">
        <f t="shared" ref="G109" si="47">G110+G111</f>
        <v>0</v>
      </c>
      <c r="H109" s="166">
        <v>13</v>
      </c>
      <c r="I109" s="337">
        <v>10</v>
      </c>
      <c r="J109" s="166">
        <v>11</v>
      </c>
      <c r="K109" s="239"/>
    </row>
    <row r="110" spans="1:11" x14ac:dyDescent="0.25">
      <c r="A110" s="393"/>
      <c r="B110" s="244" t="s">
        <v>1334</v>
      </c>
      <c r="C110" s="390"/>
      <c r="D110" s="390"/>
      <c r="E110" s="166">
        <v>0</v>
      </c>
      <c r="F110" s="166">
        <v>0</v>
      </c>
      <c r="G110" s="166">
        <v>0</v>
      </c>
      <c r="H110" s="166">
        <v>13</v>
      </c>
      <c r="I110" s="337">
        <v>10</v>
      </c>
      <c r="J110" s="166">
        <v>11</v>
      </c>
      <c r="K110" s="239"/>
    </row>
    <row r="111" spans="1:11" x14ac:dyDescent="0.25">
      <c r="A111" s="394"/>
      <c r="B111" s="245" t="s">
        <v>1336</v>
      </c>
      <c r="C111" s="391"/>
      <c r="D111" s="391"/>
      <c r="E111" s="166">
        <v>0</v>
      </c>
      <c r="F111" s="166">
        <v>0</v>
      </c>
      <c r="G111" s="166">
        <v>0</v>
      </c>
      <c r="H111" s="166">
        <v>0</v>
      </c>
      <c r="I111" s="337">
        <v>0</v>
      </c>
      <c r="J111" s="166">
        <v>0</v>
      </c>
      <c r="K111" s="239"/>
    </row>
    <row r="112" spans="1:11" ht="45" x14ac:dyDescent="0.25">
      <c r="A112" s="208" t="s">
        <v>56</v>
      </c>
      <c r="B112" s="209" t="s">
        <v>66</v>
      </c>
      <c r="C112" s="224"/>
      <c r="D112" s="208"/>
      <c r="E112" s="224"/>
      <c r="F112" s="224"/>
      <c r="G112" s="224"/>
      <c r="H112" s="224"/>
      <c r="I112" s="334"/>
      <c r="J112" s="224"/>
      <c r="K112" s="231" t="s">
        <v>65</v>
      </c>
    </row>
    <row r="113" spans="1:11" x14ac:dyDescent="0.25">
      <c r="A113" s="208"/>
      <c r="B113" s="209" t="s">
        <v>67</v>
      </c>
      <c r="C113" s="224"/>
      <c r="D113" s="208" t="s">
        <v>9</v>
      </c>
      <c r="E113" s="242">
        <f t="shared" ref="E113:E115" si="48">E122/E131*100</f>
        <v>88.235294117647058</v>
      </c>
      <c r="F113" s="242">
        <f t="shared" ref="F113:G113" si="49">F122/F131*100</f>
        <v>100</v>
      </c>
      <c r="G113" s="242">
        <f t="shared" si="49"/>
        <v>93.333333333333329</v>
      </c>
      <c r="H113" s="242">
        <f t="shared" ref="H113:J113" si="50">H122/H131*100</f>
        <v>100</v>
      </c>
      <c r="I113" s="340">
        <f t="shared" si="50"/>
        <v>100</v>
      </c>
      <c r="J113" s="242">
        <f t="shared" si="50"/>
        <v>100</v>
      </c>
      <c r="K113" s="231"/>
    </row>
    <row r="114" spans="1:11" x14ac:dyDescent="0.25">
      <c r="A114" s="208"/>
      <c r="B114" s="209" t="s">
        <v>1334</v>
      </c>
      <c r="C114" s="224"/>
      <c r="D114" s="208" t="s">
        <v>9</v>
      </c>
      <c r="E114" s="242">
        <f t="shared" si="48"/>
        <v>100</v>
      </c>
      <c r="F114" s="242">
        <f t="shared" ref="F114:G114" si="51">F123/F132*100</f>
        <v>100</v>
      </c>
      <c r="G114" s="242">
        <f t="shared" si="51"/>
        <v>100</v>
      </c>
      <c r="H114" s="242">
        <f t="shared" ref="H114:I114" si="52">H123/H132*100</f>
        <v>100</v>
      </c>
      <c r="I114" s="340">
        <f t="shared" si="52"/>
        <v>100</v>
      </c>
      <c r="J114" s="242">
        <f t="shared" ref="J114" si="53">J123/J132*100</f>
        <v>100</v>
      </c>
      <c r="K114" s="231"/>
    </row>
    <row r="115" spans="1:11" x14ac:dyDescent="0.25">
      <c r="A115" s="208"/>
      <c r="B115" s="209" t="s">
        <v>1336</v>
      </c>
      <c r="C115" s="224"/>
      <c r="D115" s="208" t="s">
        <v>9</v>
      </c>
      <c r="E115" s="242">
        <f t="shared" si="48"/>
        <v>80</v>
      </c>
      <c r="F115" s="242">
        <f t="shared" ref="F115:G115" si="54">F124/F133*100</f>
        <v>100</v>
      </c>
      <c r="G115" s="242">
        <f t="shared" si="54"/>
        <v>85.714285714285708</v>
      </c>
      <c r="H115" s="242">
        <f t="shared" ref="H115:I115" si="55">H124/H133*100</f>
        <v>100</v>
      </c>
      <c r="I115" s="340">
        <f t="shared" si="55"/>
        <v>100</v>
      </c>
      <c r="J115" s="242">
        <f t="shared" ref="J115" si="56">J124/J133*100</f>
        <v>100</v>
      </c>
      <c r="K115" s="231"/>
    </row>
    <row r="116" spans="1:11" x14ac:dyDescent="0.25">
      <c r="A116" s="208"/>
      <c r="B116" s="209" t="s">
        <v>68</v>
      </c>
      <c r="C116" s="224"/>
      <c r="D116" s="208" t="s">
        <v>9</v>
      </c>
      <c r="E116" s="242">
        <f t="shared" ref="E116:E118" si="57">E125/E131*100</f>
        <v>94.117647058823522</v>
      </c>
      <c r="F116" s="242">
        <f t="shared" ref="F116:G116" si="58">F125/F131*100</f>
        <v>92.857142857142861</v>
      </c>
      <c r="G116" s="242">
        <f t="shared" si="58"/>
        <v>100</v>
      </c>
      <c r="H116" s="242">
        <f t="shared" ref="H116:I116" si="59">H125/H131*100</f>
        <v>100</v>
      </c>
      <c r="I116" s="340">
        <f t="shared" si="59"/>
        <v>100</v>
      </c>
      <c r="J116" s="242">
        <f t="shared" ref="J116" si="60">J125/J131*100</f>
        <v>100</v>
      </c>
      <c r="K116" s="231"/>
    </row>
    <row r="117" spans="1:11" x14ac:dyDescent="0.25">
      <c r="A117" s="208"/>
      <c r="B117" s="209" t="s">
        <v>1334</v>
      </c>
      <c r="C117" s="224"/>
      <c r="D117" s="208" t="s">
        <v>9</v>
      </c>
      <c r="E117" s="242">
        <f t="shared" si="57"/>
        <v>100</v>
      </c>
      <c r="F117" s="242">
        <f t="shared" ref="F117:G117" si="61">F126/F132*100</f>
        <v>100</v>
      </c>
      <c r="G117" s="242">
        <f t="shared" si="61"/>
        <v>100</v>
      </c>
      <c r="H117" s="242">
        <f t="shared" ref="H117:I117" si="62">H126/H132*100</f>
        <v>100</v>
      </c>
      <c r="I117" s="340">
        <f t="shared" si="62"/>
        <v>100</v>
      </c>
      <c r="J117" s="242">
        <f t="shared" ref="J117" si="63">J126/J132*100</f>
        <v>100</v>
      </c>
      <c r="K117" s="231"/>
    </row>
    <row r="118" spans="1:11" x14ac:dyDescent="0.25">
      <c r="A118" s="208"/>
      <c r="B118" s="209" t="s">
        <v>1336</v>
      </c>
      <c r="C118" s="224"/>
      <c r="D118" s="208" t="s">
        <v>9</v>
      </c>
      <c r="E118" s="242">
        <f t="shared" si="57"/>
        <v>90</v>
      </c>
      <c r="F118" s="242">
        <f t="shared" ref="F118:G118" si="64">F127/F133*100</f>
        <v>85.714285714285708</v>
      </c>
      <c r="G118" s="242">
        <f t="shared" si="64"/>
        <v>100</v>
      </c>
      <c r="H118" s="242">
        <f t="shared" ref="H118:I118" si="65">H127/H133*100</f>
        <v>100</v>
      </c>
      <c r="I118" s="340">
        <f t="shared" si="65"/>
        <v>100</v>
      </c>
      <c r="J118" s="242">
        <f t="shared" ref="J118" si="66">J127/J133*100</f>
        <v>100</v>
      </c>
      <c r="K118" s="231"/>
    </row>
    <row r="119" spans="1:11" x14ac:dyDescent="0.25">
      <c r="A119" s="208"/>
      <c r="B119" s="209" t="s">
        <v>69</v>
      </c>
      <c r="C119" s="224"/>
      <c r="D119" s="208" t="s">
        <v>9</v>
      </c>
      <c r="E119" s="242">
        <f t="shared" ref="E119:E121" si="67">E128/E131*100</f>
        <v>88.235294117647058</v>
      </c>
      <c r="F119" s="242">
        <f t="shared" ref="F119:G119" si="68">F128/F131*100</f>
        <v>92.857142857142861</v>
      </c>
      <c r="G119" s="242">
        <f t="shared" si="68"/>
        <v>93.333333333333329</v>
      </c>
      <c r="H119" s="242">
        <f t="shared" ref="H119:I119" si="69">H128/H131*100</f>
        <v>100</v>
      </c>
      <c r="I119" s="340">
        <f t="shared" si="69"/>
        <v>100</v>
      </c>
      <c r="J119" s="242">
        <f t="shared" ref="J119" si="70">J128/J131*100</f>
        <v>100</v>
      </c>
      <c r="K119" s="231"/>
    </row>
    <row r="120" spans="1:11" x14ac:dyDescent="0.25">
      <c r="A120" s="208"/>
      <c r="B120" s="209" t="s">
        <v>1334</v>
      </c>
      <c r="C120" s="224"/>
      <c r="D120" s="208" t="s">
        <v>9</v>
      </c>
      <c r="E120" s="242">
        <f t="shared" si="67"/>
        <v>100</v>
      </c>
      <c r="F120" s="242">
        <f t="shared" ref="F120:G120" si="71">F129/F132*100</f>
        <v>100</v>
      </c>
      <c r="G120" s="242">
        <f t="shared" si="71"/>
        <v>100</v>
      </c>
      <c r="H120" s="242">
        <f t="shared" ref="H120:I120" si="72">H129/H132*100</f>
        <v>100</v>
      </c>
      <c r="I120" s="340">
        <f t="shared" si="72"/>
        <v>100</v>
      </c>
      <c r="J120" s="242">
        <f t="shared" ref="J120" si="73">J129/J132*100</f>
        <v>100</v>
      </c>
      <c r="K120" s="231"/>
    </row>
    <row r="121" spans="1:11" x14ac:dyDescent="0.25">
      <c r="A121" s="208"/>
      <c r="B121" s="209" t="s">
        <v>1336</v>
      </c>
      <c r="C121" s="224"/>
      <c r="D121" s="208" t="s">
        <v>9</v>
      </c>
      <c r="E121" s="242">
        <f t="shared" si="67"/>
        <v>80</v>
      </c>
      <c r="F121" s="242">
        <f t="shared" ref="F121:G121" si="74">F130/F133*100</f>
        <v>85.714285714285708</v>
      </c>
      <c r="G121" s="242">
        <f t="shared" si="74"/>
        <v>85.714285714285708</v>
      </c>
      <c r="H121" s="242">
        <f t="shared" ref="H121:I121" si="75">H130/H133*100</f>
        <v>100</v>
      </c>
      <c r="I121" s="340">
        <f t="shared" si="75"/>
        <v>100</v>
      </c>
      <c r="J121" s="242">
        <f t="shared" ref="J121" si="76">J130/J133*100</f>
        <v>100</v>
      </c>
      <c r="K121" s="231"/>
    </row>
    <row r="122" spans="1:11" ht="30" x14ac:dyDescent="0.25">
      <c r="A122" s="408"/>
      <c r="B122" s="255" t="s">
        <v>57</v>
      </c>
      <c r="C122" s="405" t="s">
        <v>58</v>
      </c>
      <c r="D122" s="405" t="s">
        <v>1268</v>
      </c>
      <c r="E122" s="241">
        <f>E123+E124</f>
        <v>15</v>
      </c>
      <c r="F122" s="241">
        <f>F123+F124</f>
        <v>14</v>
      </c>
      <c r="G122" s="241">
        <f>G123+G124</f>
        <v>14</v>
      </c>
      <c r="H122" s="241">
        <v>14</v>
      </c>
      <c r="I122" s="339">
        <v>14</v>
      </c>
      <c r="J122" s="241">
        <f>J123+J124</f>
        <v>13</v>
      </c>
    </row>
    <row r="123" spans="1:11" x14ac:dyDescent="0.25">
      <c r="A123" s="409"/>
      <c r="B123" s="256" t="s">
        <v>1334</v>
      </c>
      <c r="C123" s="406"/>
      <c r="D123" s="406"/>
      <c r="E123" s="241">
        <v>7</v>
      </c>
      <c r="F123" s="241">
        <v>7</v>
      </c>
      <c r="G123" s="241">
        <v>8</v>
      </c>
      <c r="H123" s="241">
        <v>8</v>
      </c>
      <c r="I123" s="339">
        <v>8</v>
      </c>
      <c r="J123" s="241">
        <v>8</v>
      </c>
    </row>
    <row r="124" spans="1:11" x14ac:dyDescent="0.25">
      <c r="A124" s="410"/>
      <c r="B124" s="257" t="s">
        <v>1336</v>
      </c>
      <c r="C124" s="407"/>
      <c r="D124" s="407"/>
      <c r="E124" s="241">
        <v>8</v>
      </c>
      <c r="F124" s="241">
        <v>7</v>
      </c>
      <c r="G124" s="241">
        <v>6</v>
      </c>
      <c r="H124" s="241">
        <v>6</v>
      </c>
      <c r="I124" s="339">
        <v>6</v>
      </c>
      <c r="J124" s="241">
        <v>5</v>
      </c>
    </row>
    <row r="125" spans="1:11" ht="45" x14ac:dyDescent="0.25">
      <c r="A125" s="408"/>
      <c r="B125" s="255" t="s">
        <v>59</v>
      </c>
      <c r="C125" s="405" t="s">
        <v>60</v>
      </c>
      <c r="D125" s="405" t="s">
        <v>1268</v>
      </c>
      <c r="E125" s="241">
        <f t="shared" ref="E125:J125" si="77">E126+E127</f>
        <v>16</v>
      </c>
      <c r="F125" s="241">
        <f t="shared" si="77"/>
        <v>13</v>
      </c>
      <c r="G125" s="241">
        <f t="shared" si="77"/>
        <v>15</v>
      </c>
      <c r="H125" s="241">
        <f t="shared" si="77"/>
        <v>14</v>
      </c>
      <c r="I125" s="339">
        <f t="shared" si="77"/>
        <v>14</v>
      </c>
      <c r="J125" s="241">
        <f t="shared" si="77"/>
        <v>13</v>
      </c>
    </row>
    <row r="126" spans="1:11" x14ac:dyDescent="0.25">
      <c r="A126" s="409"/>
      <c r="B126" s="256" t="s">
        <v>1334</v>
      </c>
      <c r="C126" s="406"/>
      <c r="D126" s="406"/>
      <c r="E126" s="241">
        <v>7</v>
      </c>
      <c r="F126" s="241">
        <v>7</v>
      </c>
      <c r="G126" s="241">
        <v>8</v>
      </c>
      <c r="H126" s="241">
        <v>8</v>
      </c>
      <c r="I126" s="339">
        <v>8</v>
      </c>
      <c r="J126" s="241">
        <v>8</v>
      </c>
    </row>
    <row r="127" spans="1:11" x14ac:dyDescent="0.25">
      <c r="A127" s="410"/>
      <c r="B127" s="257" t="s">
        <v>1336</v>
      </c>
      <c r="C127" s="407"/>
      <c r="D127" s="407"/>
      <c r="E127" s="241">
        <v>9</v>
      </c>
      <c r="F127" s="241">
        <v>6</v>
      </c>
      <c r="G127" s="241">
        <v>7</v>
      </c>
      <c r="H127" s="241">
        <v>6</v>
      </c>
      <c r="I127" s="339">
        <v>6</v>
      </c>
      <c r="J127" s="241">
        <v>5</v>
      </c>
    </row>
    <row r="128" spans="1:11" ht="30" x14ac:dyDescent="0.25">
      <c r="A128" s="408"/>
      <c r="B128" s="255" t="s">
        <v>61</v>
      </c>
      <c r="C128" s="405" t="s">
        <v>62</v>
      </c>
      <c r="D128" s="405" t="s">
        <v>1268</v>
      </c>
      <c r="E128" s="241">
        <f t="shared" ref="E128:J128" si="78">E129+E130</f>
        <v>15</v>
      </c>
      <c r="F128" s="241">
        <f t="shared" si="78"/>
        <v>13</v>
      </c>
      <c r="G128" s="241">
        <f t="shared" si="78"/>
        <v>14</v>
      </c>
      <c r="H128" s="241">
        <f t="shared" si="78"/>
        <v>14</v>
      </c>
      <c r="I128" s="339">
        <f t="shared" si="78"/>
        <v>14</v>
      </c>
      <c r="J128" s="241">
        <f t="shared" si="78"/>
        <v>13</v>
      </c>
    </row>
    <row r="129" spans="1:11" x14ac:dyDescent="0.25">
      <c r="A129" s="409"/>
      <c r="B129" s="256" t="s">
        <v>1334</v>
      </c>
      <c r="C129" s="406"/>
      <c r="D129" s="406"/>
      <c r="E129" s="241">
        <v>7</v>
      </c>
      <c r="F129" s="241">
        <v>7</v>
      </c>
      <c r="G129" s="241">
        <v>8</v>
      </c>
      <c r="H129" s="241">
        <v>8</v>
      </c>
      <c r="I129" s="339">
        <v>8</v>
      </c>
      <c r="J129" s="241">
        <v>8</v>
      </c>
    </row>
    <row r="130" spans="1:11" x14ac:dyDescent="0.25">
      <c r="A130" s="410"/>
      <c r="B130" s="257" t="s">
        <v>1336</v>
      </c>
      <c r="C130" s="407"/>
      <c r="D130" s="407"/>
      <c r="E130" s="241">
        <v>8</v>
      </c>
      <c r="F130" s="241">
        <v>6</v>
      </c>
      <c r="G130" s="241">
        <v>6</v>
      </c>
      <c r="H130" s="241">
        <v>6</v>
      </c>
      <c r="I130" s="339">
        <v>6</v>
      </c>
      <c r="J130" s="241">
        <v>5</v>
      </c>
    </row>
    <row r="131" spans="1:11" ht="30" x14ac:dyDescent="0.25">
      <c r="A131" s="408"/>
      <c r="B131" s="255" t="s">
        <v>63</v>
      </c>
      <c r="C131" s="405" t="s">
        <v>64</v>
      </c>
      <c r="D131" s="405" t="s">
        <v>1268</v>
      </c>
      <c r="E131" s="241">
        <f t="shared" ref="E131:J131" si="79">E132+E133</f>
        <v>17</v>
      </c>
      <c r="F131" s="241">
        <f t="shared" si="79"/>
        <v>14</v>
      </c>
      <c r="G131" s="241">
        <f t="shared" si="79"/>
        <v>15</v>
      </c>
      <c r="H131" s="241">
        <f t="shared" si="79"/>
        <v>14</v>
      </c>
      <c r="I131" s="339">
        <f t="shared" si="79"/>
        <v>14</v>
      </c>
      <c r="J131" s="241">
        <f t="shared" si="79"/>
        <v>13</v>
      </c>
    </row>
    <row r="132" spans="1:11" x14ac:dyDescent="0.25">
      <c r="A132" s="409"/>
      <c r="B132" s="256" t="s">
        <v>1334</v>
      </c>
      <c r="C132" s="406"/>
      <c r="D132" s="406"/>
      <c r="E132" s="241">
        <v>7</v>
      </c>
      <c r="F132" s="241">
        <v>7</v>
      </c>
      <c r="G132" s="241">
        <v>8</v>
      </c>
      <c r="H132" s="241">
        <v>8</v>
      </c>
      <c r="I132" s="339">
        <v>8</v>
      </c>
      <c r="J132" s="241">
        <v>8</v>
      </c>
    </row>
    <row r="133" spans="1:11" x14ac:dyDescent="0.25">
      <c r="A133" s="410"/>
      <c r="B133" s="257" t="s">
        <v>1336</v>
      </c>
      <c r="C133" s="407"/>
      <c r="D133" s="407"/>
      <c r="E133" s="241">
        <v>10</v>
      </c>
      <c r="F133" s="241">
        <v>7</v>
      </c>
      <c r="G133" s="241">
        <v>7</v>
      </c>
      <c r="H133" s="241">
        <v>6</v>
      </c>
      <c r="I133" s="339">
        <v>6</v>
      </c>
      <c r="J133" s="241">
        <v>5</v>
      </c>
    </row>
    <row r="134" spans="1:11" ht="30" x14ac:dyDescent="0.25">
      <c r="A134" s="208" t="s">
        <v>71</v>
      </c>
      <c r="B134" s="209" t="s">
        <v>70</v>
      </c>
      <c r="C134" s="208" t="s">
        <v>1337</v>
      </c>
      <c r="D134" s="208" t="s">
        <v>9</v>
      </c>
      <c r="E134" s="242">
        <f t="shared" ref="E134:J134" si="80">E135/E136*100</f>
        <v>64.705882352941174</v>
      </c>
      <c r="F134" s="242">
        <f t="shared" si="80"/>
        <v>78.571428571428569</v>
      </c>
      <c r="G134" s="242">
        <f t="shared" si="80"/>
        <v>60</v>
      </c>
      <c r="H134" s="242">
        <f t="shared" si="80"/>
        <v>64.285714285714292</v>
      </c>
      <c r="I134" s="340">
        <f t="shared" si="80"/>
        <v>71.428571428571431</v>
      </c>
      <c r="J134" s="242">
        <f t="shared" si="80"/>
        <v>84.615384615384613</v>
      </c>
      <c r="K134" s="231" t="s">
        <v>28</v>
      </c>
    </row>
    <row r="135" spans="1:11" ht="30" x14ac:dyDescent="0.25">
      <c r="A135" s="224"/>
      <c r="B135" s="209" t="s">
        <v>72</v>
      </c>
      <c r="C135" s="208" t="s">
        <v>73</v>
      </c>
      <c r="D135" s="208" t="s">
        <v>1268</v>
      </c>
      <c r="E135" s="241">
        <v>11</v>
      </c>
      <c r="F135" s="241">
        <v>11</v>
      </c>
      <c r="G135" s="241">
        <v>9</v>
      </c>
      <c r="H135" s="241">
        <v>9</v>
      </c>
      <c r="I135" s="339">
        <v>10</v>
      </c>
      <c r="J135" s="241">
        <v>11</v>
      </c>
    </row>
    <row r="136" spans="1:11" ht="45" x14ac:dyDescent="0.25">
      <c r="A136" s="224"/>
      <c r="B136" s="209" t="s">
        <v>63</v>
      </c>
      <c r="C136" s="208" t="s">
        <v>64</v>
      </c>
      <c r="D136" s="208" t="s">
        <v>1268</v>
      </c>
      <c r="E136" s="241">
        <v>17</v>
      </c>
      <c r="F136" s="241">
        <v>14</v>
      </c>
      <c r="G136" s="241">
        <v>15</v>
      </c>
      <c r="H136" s="241">
        <v>14</v>
      </c>
      <c r="I136" s="339">
        <v>14</v>
      </c>
      <c r="J136" s="241">
        <v>13</v>
      </c>
    </row>
    <row r="137" spans="1:11" ht="30" x14ac:dyDescent="0.25">
      <c r="A137" s="208" t="s">
        <v>75</v>
      </c>
      <c r="B137" s="209" t="s">
        <v>74</v>
      </c>
      <c r="C137" s="208" t="s">
        <v>1337</v>
      </c>
      <c r="D137" s="208" t="s">
        <v>9</v>
      </c>
      <c r="E137" s="242">
        <f>E138/E139*100</f>
        <v>0</v>
      </c>
      <c r="F137" s="242">
        <f>F138/F139*100</f>
        <v>0</v>
      </c>
      <c r="G137" s="242">
        <f>G138/G139*100</f>
        <v>0</v>
      </c>
      <c r="H137" s="242">
        <f>H138/H139*100</f>
        <v>0</v>
      </c>
      <c r="I137" s="340">
        <f>I138/I139*100</f>
        <v>0</v>
      </c>
      <c r="J137" s="242">
        <v>0</v>
      </c>
      <c r="K137" s="231" t="s">
        <v>28</v>
      </c>
    </row>
    <row r="138" spans="1:11" ht="30" x14ac:dyDescent="0.25">
      <c r="A138" s="224"/>
      <c r="B138" s="209" t="s">
        <v>76</v>
      </c>
      <c r="C138" s="208" t="s">
        <v>77</v>
      </c>
      <c r="D138" s="208" t="s">
        <v>1268</v>
      </c>
      <c r="E138" s="241">
        <v>0</v>
      </c>
      <c r="F138" s="241">
        <v>0</v>
      </c>
      <c r="G138" s="241">
        <v>0</v>
      </c>
      <c r="H138" s="241">
        <v>0</v>
      </c>
      <c r="I138" s="339">
        <v>0</v>
      </c>
      <c r="J138" s="241">
        <v>0</v>
      </c>
    </row>
    <row r="139" spans="1:11" ht="45" x14ac:dyDescent="0.25">
      <c r="A139" s="224"/>
      <c r="B139" s="209" t="s">
        <v>78</v>
      </c>
      <c r="C139" s="208" t="s">
        <v>64</v>
      </c>
      <c r="D139" s="208" t="s">
        <v>1268</v>
      </c>
      <c r="E139" s="241">
        <v>17</v>
      </c>
      <c r="F139" s="241">
        <v>14</v>
      </c>
      <c r="G139" s="241">
        <v>15</v>
      </c>
      <c r="H139" s="241">
        <v>14</v>
      </c>
      <c r="I139" s="339">
        <v>14</v>
      </c>
      <c r="J139" s="241">
        <v>13</v>
      </c>
    </row>
    <row r="140" spans="1:11" ht="30" x14ac:dyDescent="0.25">
      <c r="A140" s="208" t="s">
        <v>75</v>
      </c>
      <c r="B140" s="209" t="s">
        <v>79</v>
      </c>
      <c r="C140" s="224"/>
      <c r="D140" s="208"/>
      <c r="E140" s="242"/>
      <c r="F140" s="242"/>
      <c r="G140" s="242"/>
      <c r="H140" s="242"/>
      <c r="I140" s="340"/>
      <c r="J140" s="242"/>
      <c r="K140" s="231" t="s">
        <v>28</v>
      </c>
    </row>
    <row r="141" spans="1:11" x14ac:dyDescent="0.25">
      <c r="A141" s="208"/>
      <c r="B141" s="209" t="s">
        <v>1333</v>
      </c>
      <c r="C141" s="224"/>
      <c r="D141" s="208" t="s">
        <v>1268</v>
      </c>
      <c r="E141" s="242">
        <f t="shared" ref="E141:J141" si="81">E148/E155*100</f>
        <v>0</v>
      </c>
      <c r="F141" s="242">
        <f t="shared" si="81"/>
        <v>0</v>
      </c>
      <c r="G141" s="242">
        <f t="shared" si="81"/>
        <v>0</v>
      </c>
      <c r="H141" s="242">
        <f t="shared" si="81"/>
        <v>4.730368968779565E-2</v>
      </c>
      <c r="I141" s="340">
        <f t="shared" si="81"/>
        <v>0.53684724255734506</v>
      </c>
      <c r="J141" s="242">
        <f t="shared" si="81"/>
        <v>0.5469915464942815</v>
      </c>
      <c r="K141" s="231"/>
    </row>
    <row r="142" spans="1:11" x14ac:dyDescent="0.25">
      <c r="A142" s="208"/>
      <c r="B142" s="209" t="s">
        <v>1334</v>
      </c>
      <c r="C142" s="224"/>
      <c r="D142" s="208" t="s">
        <v>1268</v>
      </c>
      <c r="E142" s="242">
        <f t="shared" ref="E142:F142" si="82">E149/E156*100</f>
        <v>0</v>
      </c>
      <c r="F142" s="242">
        <f t="shared" si="82"/>
        <v>0</v>
      </c>
      <c r="G142" s="242">
        <f t="shared" ref="G142:J142" si="83">G149/G156*100</f>
        <v>0</v>
      </c>
      <c r="H142" s="242">
        <f t="shared" ref="H142" si="84">H149/H156*100</f>
        <v>8.3125519534497094E-2</v>
      </c>
      <c r="I142" s="340">
        <f t="shared" si="83"/>
        <v>0.96237970253718275</v>
      </c>
      <c r="J142" s="242">
        <f t="shared" si="83"/>
        <v>0.98302055406613054</v>
      </c>
      <c r="K142" s="231"/>
    </row>
    <row r="143" spans="1:11" x14ac:dyDescent="0.25">
      <c r="A143" s="208"/>
      <c r="B143" s="209" t="s">
        <v>1336</v>
      </c>
      <c r="C143" s="224"/>
      <c r="D143" s="208" t="s">
        <v>1268</v>
      </c>
      <c r="E143" s="242">
        <f t="shared" ref="E143:F143" si="85">E150/E157*100</f>
        <v>0</v>
      </c>
      <c r="F143" s="242">
        <f t="shared" si="85"/>
        <v>0</v>
      </c>
      <c r="G143" s="242">
        <f t="shared" ref="G143:I143" si="86">G150/G157*100</f>
        <v>0</v>
      </c>
      <c r="H143" s="242">
        <f t="shared" ref="H143" si="87">H150/H157*100</f>
        <v>0</v>
      </c>
      <c r="I143" s="340">
        <f t="shared" si="86"/>
        <v>0</v>
      </c>
      <c r="J143" s="242">
        <v>0</v>
      </c>
      <c r="K143" s="231"/>
    </row>
    <row r="144" spans="1:11" x14ac:dyDescent="0.25">
      <c r="A144" s="208"/>
      <c r="B144" s="209" t="s">
        <v>1335</v>
      </c>
      <c r="C144" s="224"/>
      <c r="D144" s="208" t="s">
        <v>1268</v>
      </c>
      <c r="E144" s="242" t="e">
        <f>E151/E158*100</f>
        <v>#DIV/0!</v>
      </c>
      <c r="F144" s="242" t="e">
        <f>F151/F158*100</f>
        <v>#DIV/0!</v>
      </c>
      <c r="G144" s="242" t="e">
        <f>G151/G158*100</f>
        <v>#DIV/0!</v>
      </c>
      <c r="H144" s="242">
        <f>H151/H158*100</f>
        <v>0</v>
      </c>
      <c r="I144" s="340">
        <f>I151/I158*100</f>
        <v>0</v>
      </c>
      <c r="J144" s="242">
        <v>0</v>
      </c>
      <c r="K144" s="231"/>
    </row>
    <row r="145" spans="1:11" x14ac:dyDescent="0.25">
      <c r="A145" s="208"/>
      <c r="B145" s="209" t="s">
        <v>1334</v>
      </c>
      <c r="C145" s="224"/>
      <c r="D145" s="208" t="s">
        <v>1268</v>
      </c>
      <c r="E145" s="242" t="e">
        <f t="shared" ref="E145:F145" si="88">E152/E159*100</f>
        <v>#DIV/0!</v>
      </c>
      <c r="F145" s="242" t="e">
        <f t="shared" si="88"/>
        <v>#DIV/0!</v>
      </c>
      <c r="G145" s="242" t="e">
        <f t="shared" ref="G145:J146" si="89">G152/G159*100</f>
        <v>#DIV/0!</v>
      </c>
      <c r="H145" s="242" t="e">
        <f t="shared" ref="H145" si="90">H152/H159*100</f>
        <v>#DIV/0!</v>
      </c>
      <c r="I145" s="340" t="e">
        <f t="shared" si="89"/>
        <v>#DIV/0!</v>
      </c>
      <c r="J145" s="242" t="e">
        <f t="shared" si="89"/>
        <v>#DIV/0!</v>
      </c>
      <c r="K145" s="231"/>
    </row>
    <row r="146" spans="1:11" x14ac:dyDescent="0.25">
      <c r="A146" s="208"/>
      <c r="B146" s="209" t="s">
        <v>1336</v>
      </c>
      <c r="C146" s="224"/>
      <c r="D146" s="208" t="s">
        <v>1268</v>
      </c>
      <c r="E146" s="242" t="e">
        <f t="shared" ref="E146:F146" si="91">E153/E160*100</f>
        <v>#DIV/0!</v>
      </c>
      <c r="F146" s="242" t="e">
        <f t="shared" si="91"/>
        <v>#DIV/0!</v>
      </c>
      <c r="G146" s="242" t="e">
        <f t="shared" ref="G146:I146" si="92">G153/G160*100</f>
        <v>#DIV/0!</v>
      </c>
      <c r="H146" s="242" t="e">
        <f t="shared" ref="H146" si="93">H153/H160*100</f>
        <v>#DIV/0!</v>
      </c>
      <c r="I146" s="340" t="e">
        <f t="shared" si="92"/>
        <v>#DIV/0!</v>
      </c>
      <c r="J146" s="242" t="e">
        <f t="shared" si="89"/>
        <v>#DIV/0!</v>
      </c>
      <c r="K146" s="231"/>
    </row>
    <row r="147" spans="1:11" ht="45" x14ac:dyDescent="0.25">
      <c r="A147" s="224"/>
      <c r="B147" s="243" t="s">
        <v>81</v>
      </c>
      <c r="C147" s="208"/>
      <c r="D147" s="208"/>
      <c r="E147" s="241"/>
      <c r="F147" s="241"/>
      <c r="G147" s="241"/>
      <c r="H147" s="241"/>
      <c r="I147" s="339"/>
      <c r="J147" s="241"/>
    </row>
    <row r="148" spans="1:11" x14ac:dyDescent="0.25">
      <c r="A148" s="392"/>
      <c r="B148" s="238" t="s">
        <v>1333</v>
      </c>
      <c r="C148" s="389" t="s">
        <v>82</v>
      </c>
      <c r="D148" s="389" t="s">
        <v>1268</v>
      </c>
      <c r="E148" s="159">
        <f>E149+E150</f>
        <v>0</v>
      </c>
      <c r="F148" s="159">
        <f>F149+F150</f>
        <v>0</v>
      </c>
      <c r="G148" s="159">
        <f>G149+G150</f>
        <v>0</v>
      </c>
      <c r="H148" s="159">
        <v>1</v>
      </c>
      <c r="I148" s="341">
        <f>I149+I150</f>
        <v>11</v>
      </c>
      <c r="J148" s="159">
        <v>11</v>
      </c>
    </row>
    <row r="149" spans="1:11" x14ac:dyDescent="0.25">
      <c r="A149" s="393"/>
      <c r="B149" s="244" t="s">
        <v>1334</v>
      </c>
      <c r="C149" s="390"/>
      <c r="D149" s="390" t="s">
        <v>1268</v>
      </c>
      <c r="E149" s="159">
        <v>0</v>
      </c>
      <c r="F149" s="159">
        <v>0</v>
      </c>
      <c r="G149" s="241">
        <v>0</v>
      </c>
      <c r="H149" s="241">
        <v>1</v>
      </c>
      <c r="I149" s="339">
        <v>11</v>
      </c>
      <c r="J149" s="241">
        <v>11</v>
      </c>
    </row>
    <row r="150" spans="1:11" x14ac:dyDescent="0.25">
      <c r="A150" s="394"/>
      <c r="B150" s="245" t="s">
        <v>1336</v>
      </c>
      <c r="C150" s="391"/>
      <c r="D150" s="391" t="s">
        <v>1268</v>
      </c>
      <c r="E150" s="159">
        <v>0</v>
      </c>
      <c r="F150" s="159">
        <v>0</v>
      </c>
      <c r="G150" s="159">
        <v>0</v>
      </c>
      <c r="H150" s="159">
        <v>0</v>
      </c>
      <c r="I150" s="341">
        <v>0</v>
      </c>
      <c r="J150" s="159">
        <v>0</v>
      </c>
    </row>
    <row r="151" spans="1:11" x14ac:dyDescent="0.25">
      <c r="A151" s="392"/>
      <c r="B151" s="238" t="s">
        <v>1335</v>
      </c>
      <c r="C151" s="389" t="s">
        <v>82</v>
      </c>
      <c r="D151" s="389" t="s">
        <v>1268</v>
      </c>
      <c r="E151" s="159">
        <f>E152+E153</f>
        <v>0</v>
      </c>
      <c r="F151" s="159">
        <f>F152+F153</f>
        <v>0</v>
      </c>
      <c r="G151" s="159">
        <f>G152+G153</f>
        <v>0</v>
      </c>
      <c r="H151" s="159">
        <f>H152+H153</f>
        <v>0</v>
      </c>
      <c r="I151" s="341">
        <f>I152+I153</f>
        <v>0</v>
      </c>
      <c r="J151" s="159">
        <v>0</v>
      </c>
    </row>
    <row r="152" spans="1:11" x14ac:dyDescent="0.25">
      <c r="A152" s="393"/>
      <c r="B152" s="244" t="s">
        <v>1334</v>
      </c>
      <c r="C152" s="390"/>
      <c r="D152" s="390" t="s">
        <v>1268</v>
      </c>
      <c r="E152" s="159">
        <v>0</v>
      </c>
      <c r="F152" s="159">
        <v>0</v>
      </c>
      <c r="G152" s="159">
        <v>0</v>
      </c>
      <c r="H152" s="159">
        <v>0</v>
      </c>
      <c r="I152" s="341">
        <v>0</v>
      </c>
      <c r="J152" s="159">
        <v>0</v>
      </c>
    </row>
    <row r="153" spans="1:11" x14ac:dyDescent="0.25">
      <c r="A153" s="394"/>
      <c r="B153" s="245" t="s">
        <v>1336</v>
      </c>
      <c r="C153" s="391"/>
      <c r="D153" s="391" t="s">
        <v>1268</v>
      </c>
      <c r="E153" s="159">
        <v>0</v>
      </c>
      <c r="F153" s="159">
        <v>0</v>
      </c>
      <c r="G153" s="159">
        <v>0</v>
      </c>
      <c r="H153" s="159">
        <v>0</v>
      </c>
      <c r="I153" s="341">
        <v>0</v>
      </c>
      <c r="J153" s="159">
        <v>0</v>
      </c>
    </row>
    <row r="154" spans="1:11" ht="30" x14ac:dyDescent="0.25">
      <c r="A154" s="167"/>
      <c r="B154" s="246" t="s">
        <v>83</v>
      </c>
      <c r="C154" s="158"/>
      <c r="D154" s="158"/>
      <c r="E154" s="166"/>
      <c r="F154" s="166"/>
      <c r="G154" s="166"/>
      <c r="H154" s="166"/>
      <c r="I154" s="337"/>
      <c r="J154" s="166"/>
      <c r="K154" s="239"/>
    </row>
    <row r="155" spans="1:11" x14ac:dyDescent="0.25">
      <c r="A155" s="392"/>
      <c r="B155" s="238" t="s">
        <v>1333</v>
      </c>
      <c r="C155" s="389" t="s">
        <v>84</v>
      </c>
      <c r="D155" s="389" t="s">
        <v>1076</v>
      </c>
      <c r="E155" s="166">
        <f t="shared" ref="E155:J155" si="94">E156+E157</f>
        <v>1696</v>
      </c>
      <c r="F155" s="166">
        <f t="shared" si="94"/>
        <v>2078</v>
      </c>
      <c r="G155" s="166">
        <f t="shared" si="94"/>
        <v>2147</v>
      </c>
      <c r="H155" s="190">
        <f t="shared" si="94"/>
        <v>2114</v>
      </c>
      <c r="I155" s="330">
        <f t="shared" si="94"/>
        <v>2049</v>
      </c>
      <c r="J155" s="166">
        <f t="shared" si="94"/>
        <v>2011</v>
      </c>
      <c r="K155" s="239"/>
    </row>
    <row r="156" spans="1:11" x14ac:dyDescent="0.25">
      <c r="A156" s="393"/>
      <c r="B156" s="244" t="s">
        <v>1334</v>
      </c>
      <c r="C156" s="390"/>
      <c r="D156" s="390"/>
      <c r="E156" s="159">
        <v>987</v>
      </c>
      <c r="F156" s="166">
        <v>1222</v>
      </c>
      <c r="G156" s="166">
        <v>1230</v>
      </c>
      <c r="H156" s="166">
        <f>1216-H158</f>
        <v>1203</v>
      </c>
      <c r="I156" s="337">
        <f>1153-I158</f>
        <v>1143</v>
      </c>
      <c r="J156" s="166">
        <v>1119</v>
      </c>
      <c r="K156" s="239"/>
    </row>
    <row r="157" spans="1:11" x14ac:dyDescent="0.25">
      <c r="A157" s="394"/>
      <c r="B157" s="245" t="s">
        <v>1336</v>
      </c>
      <c r="C157" s="391"/>
      <c r="D157" s="391"/>
      <c r="E157" s="166">
        <v>709</v>
      </c>
      <c r="F157" s="166">
        <v>856</v>
      </c>
      <c r="G157" s="166">
        <v>917</v>
      </c>
      <c r="H157" s="166">
        <v>911</v>
      </c>
      <c r="I157" s="337">
        <v>906</v>
      </c>
      <c r="J157" s="166">
        <v>892</v>
      </c>
      <c r="K157" s="239"/>
    </row>
    <row r="158" spans="1:11" x14ac:dyDescent="0.25">
      <c r="A158" s="392"/>
      <c r="B158" s="238" t="s">
        <v>1335</v>
      </c>
      <c r="C158" s="389" t="s">
        <v>84</v>
      </c>
      <c r="D158" s="389" t="s">
        <v>1076</v>
      </c>
      <c r="E158" s="166">
        <f>E159+E160</f>
        <v>0</v>
      </c>
      <c r="F158" s="166">
        <f>F159+F160</f>
        <v>0</v>
      </c>
      <c r="G158" s="166">
        <f>G159+G160</f>
        <v>0</v>
      </c>
      <c r="H158" s="166">
        <v>13</v>
      </c>
      <c r="I158" s="337">
        <v>10</v>
      </c>
      <c r="J158" s="166">
        <v>11</v>
      </c>
      <c r="K158" s="239"/>
    </row>
    <row r="159" spans="1:11" x14ac:dyDescent="0.25">
      <c r="A159" s="393"/>
      <c r="B159" s="244" t="s">
        <v>1334</v>
      </c>
      <c r="C159" s="390"/>
      <c r="D159" s="390"/>
      <c r="E159" s="166">
        <v>0</v>
      </c>
      <c r="F159" s="166">
        <v>0</v>
      </c>
      <c r="G159" s="166">
        <v>0</v>
      </c>
      <c r="H159" s="166">
        <v>0</v>
      </c>
      <c r="I159" s="337">
        <v>0</v>
      </c>
      <c r="J159" s="166">
        <v>0</v>
      </c>
    </row>
    <row r="160" spans="1:11" ht="15" customHeight="1" x14ac:dyDescent="0.25">
      <c r="A160" s="394"/>
      <c r="B160" s="245" t="s">
        <v>1336</v>
      </c>
      <c r="C160" s="391"/>
      <c r="D160" s="391"/>
      <c r="E160" s="166">
        <v>0</v>
      </c>
      <c r="F160" s="166">
        <v>0</v>
      </c>
      <c r="G160" s="166">
        <v>0</v>
      </c>
      <c r="H160" s="166">
        <v>0</v>
      </c>
      <c r="I160" s="337">
        <v>0</v>
      </c>
      <c r="J160" s="166">
        <v>0</v>
      </c>
    </row>
    <row r="161" spans="1:11" ht="28.5" x14ac:dyDescent="0.25">
      <c r="A161" s="191" t="s">
        <v>86</v>
      </c>
      <c r="B161" s="192" t="s">
        <v>85</v>
      </c>
      <c r="C161" s="193"/>
      <c r="D161" s="193"/>
      <c r="E161" s="193"/>
      <c r="F161" s="193"/>
      <c r="G161" s="193"/>
      <c r="H161" s="193"/>
      <c r="I161" s="331"/>
      <c r="J161" s="193"/>
    </row>
    <row r="162" spans="1:11" ht="45" customHeight="1" x14ac:dyDescent="0.25">
      <c r="A162" s="189" t="s">
        <v>88</v>
      </c>
      <c r="B162" s="168" t="s">
        <v>87</v>
      </c>
      <c r="C162" s="402" t="s">
        <v>1337</v>
      </c>
      <c r="D162" s="402" t="s">
        <v>9</v>
      </c>
      <c r="E162" s="194">
        <f t="shared" ref="E162:J164" si="95">E165/E168*100</f>
        <v>0</v>
      </c>
      <c r="F162" s="194">
        <f t="shared" si="95"/>
        <v>0.52935514918190563</v>
      </c>
      <c r="G162" s="194">
        <f t="shared" si="95"/>
        <v>0.79180251513740108</v>
      </c>
      <c r="H162" s="194">
        <f t="shared" ref="H162" si="96">H165/H168*100</f>
        <v>0.84626234132581102</v>
      </c>
      <c r="I162" s="325">
        <f>I165/I168*100</f>
        <v>0.97134531325886353</v>
      </c>
      <c r="J162" s="194">
        <f t="shared" si="95"/>
        <v>2.6852312282446547</v>
      </c>
      <c r="K162" s="231" t="s">
        <v>92</v>
      </c>
    </row>
    <row r="163" spans="1:11" ht="15" customHeight="1" x14ac:dyDescent="0.25">
      <c r="A163" s="189"/>
      <c r="B163" s="168" t="s">
        <v>1334</v>
      </c>
      <c r="C163" s="403"/>
      <c r="D163" s="403"/>
      <c r="E163" s="194">
        <f t="shared" si="95"/>
        <v>0</v>
      </c>
      <c r="F163" s="194">
        <f t="shared" si="95"/>
        <v>0.65466448445171854</v>
      </c>
      <c r="G163" s="194">
        <f t="shared" si="95"/>
        <v>0.97560975609756095</v>
      </c>
      <c r="H163" s="194">
        <f t="shared" ref="H163:J163" si="97">H166/H169*100</f>
        <v>1.069078947368421</v>
      </c>
      <c r="I163" s="325">
        <f t="shared" si="97"/>
        <v>1.1274934952298352</v>
      </c>
      <c r="J163" s="194">
        <f t="shared" si="97"/>
        <v>4.3789097408400357</v>
      </c>
      <c r="K163" s="231"/>
    </row>
    <row r="164" spans="1:11" x14ac:dyDescent="0.25">
      <c r="A164" s="189"/>
      <c r="B164" s="168" t="s">
        <v>1336</v>
      </c>
      <c r="C164" s="404"/>
      <c r="D164" s="404"/>
      <c r="E164" s="194">
        <f t="shared" si="95"/>
        <v>0</v>
      </c>
      <c r="F164" s="194">
        <f t="shared" si="95"/>
        <v>0.35046728971962615</v>
      </c>
      <c r="G164" s="194">
        <f t="shared" si="95"/>
        <v>0.54525627044711011</v>
      </c>
      <c r="H164" s="194">
        <f t="shared" ref="H164:J164" si="98">H167/H170*100</f>
        <v>0.54884742041712409</v>
      </c>
      <c r="I164" s="325">
        <f t="shared" si="98"/>
        <v>0.77262693156732898</v>
      </c>
      <c r="J164" s="194">
        <f t="shared" si="98"/>
        <v>0.5605381165919282</v>
      </c>
      <c r="K164" s="231"/>
    </row>
    <row r="165" spans="1:11" ht="45" x14ac:dyDescent="0.25">
      <c r="A165" s="392"/>
      <c r="B165" s="238" t="s">
        <v>89</v>
      </c>
      <c r="C165" s="389" t="s">
        <v>90</v>
      </c>
      <c r="D165" s="389" t="s">
        <v>1076</v>
      </c>
      <c r="E165" s="159">
        <f t="shared" ref="E165:J165" si="99">E166+E167</f>
        <v>0</v>
      </c>
      <c r="F165" s="159">
        <f t="shared" si="99"/>
        <v>11</v>
      </c>
      <c r="G165" s="159">
        <f t="shared" si="99"/>
        <v>17</v>
      </c>
      <c r="H165" s="159">
        <f t="shared" si="99"/>
        <v>18</v>
      </c>
      <c r="I165" s="341">
        <f t="shared" si="99"/>
        <v>20</v>
      </c>
      <c r="J165" s="159">
        <f t="shared" si="99"/>
        <v>54</v>
      </c>
    </row>
    <row r="166" spans="1:11" x14ac:dyDescent="0.25">
      <c r="A166" s="393"/>
      <c r="B166" s="244" t="s">
        <v>1334</v>
      </c>
      <c r="C166" s="390"/>
      <c r="D166" s="390"/>
      <c r="E166" s="159">
        <v>0</v>
      </c>
      <c r="F166" s="159">
        <v>8</v>
      </c>
      <c r="G166" s="159">
        <v>12</v>
      </c>
      <c r="H166" s="159">
        <v>13</v>
      </c>
      <c r="I166" s="341">
        <v>13</v>
      </c>
      <c r="J166" s="162">
        <v>49</v>
      </c>
    </row>
    <row r="167" spans="1:11" x14ac:dyDescent="0.25">
      <c r="A167" s="394"/>
      <c r="B167" s="245" t="s">
        <v>1336</v>
      </c>
      <c r="C167" s="391"/>
      <c r="D167" s="391"/>
      <c r="E167" s="159">
        <v>0</v>
      </c>
      <c r="F167" s="159">
        <v>3</v>
      </c>
      <c r="G167" s="159">
        <v>5</v>
      </c>
      <c r="H167" s="159">
        <v>5</v>
      </c>
      <c r="I167" s="341">
        <v>7</v>
      </c>
      <c r="J167" s="162">
        <v>5</v>
      </c>
    </row>
    <row r="168" spans="1:11" ht="45" x14ac:dyDescent="0.25">
      <c r="A168" s="392"/>
      <c r="B168" s="238" t="s">
        <v>16</v>
      </c>
      <c r="C168" s="389" t="s">
        <v>91</v>
      </c>
      <c r="D168" s="389" t="s">
        <v>1076</v>
      </c>
      <c r="E168" s="159">
        <f t="shared" ref="E168:J168" si="100">E169+E170</f>
        <v>2005</v>
      </c>
      <c r="F168" s="159">
        <f t="shared" si="100"/>
        <v>2078</v>
      </c>
      <c r="G168" s="159">
        <f t="shared" si="100"/>
        <v>2147</v>
      </c>
      <c r="H168" s="190">
        <f t="shared" si="100"/>
        <v>2127</v>
      </c>
      <c r="I168" s="330">
        <f t="shared" si="100"/>
        <v>2059</v>
      </c>
      <c r="J168" s="190">
        <f t="shared" si="100"/>
        <v>2011</v>
      </c>
      <c r="K168" s="239"/>
    </row>
    <row r="169" spans="1:11" x14ac:dyDescent="0.25">
      <c r="A169" s="393"/>
      <c r="B169" s="244" t="s">
        <v>1334</v>
      </c>
      <c r="C169" s="390"/>
      <c r="D169" s="390"/>
      <c r="E169" s="166">
        <v>1177</v>
      </c>
      <c r="F169" s="166">
        <v>1222</v>
      </c>
      <c r="G169" s="166">
        <v>1230</v>
      </c>
      <c r="H169" s="166">
        <v>1216</v>
      </c>
      <c r="I169" s="337">
        <v>1153</v>
      </c>
      <c r="J169" s="166">
        <v>1119</v>
      </c>
      <c r="K169" s="239"/>
    </row>
    <row r="170" spans="1:11" x14ac:dyDescent="0.25">
      <c r="A170" s="394"/>
      <c r="B170" s="245" t="s">
        <v>1336</v>
      </c>
      <c r="C170" s="391"/>
      <c r="D170" s="391"/>
      <c r="E170" s="166">
        <v>828</v>
      </c>
      <c r="F170" s="166">
        <v>856</v>
      </c>
      <c r="G170" s="166">
        <v>917</v>
      </c>
      <c r="H170" s="166">
        <v>911</v>
      </c>
      <c r="I170" s="337">
        <v>906</v>
      </c>
      <c r="J170" s="166">
        <v>892</v>
      </c>
      <c r="K170" s="239"/>
    </row>
    <row r="171" spans="1:11" ht="45" x14ac:dyDescent="0.25">
      <c r="A171" s="189" t="s">
        <v>94</v>
      </c>
      <c r="B171" s="168" t="s">
        <v>93</v>
      </c>
      <c r="C171" s="402"/>
      <c r="D171" s="402" t="s">
        <v>9</v>
      </c>
      <c r="E171" s="194">
        <f t="shared" ref="E171:E173" si="101">E174/E177*100</f>
        <v>0.44887780548628431</v>
      </c>
      <c r="F171" s="194">
        <f t="shared" ref="F171:G171" si="102">F174/F177*100</f>
        <v>0.67372473532242538</v>
      </c>
      <c r="G171" s="194">
        <f t="shared" si="102"/>
        <v>0.69864927806241262</v>
      </c>
      <c r="H171" s="194">
        <f t="shared" ref="H171:J171" si="103">H174/H177*100</f>
        <v>0.84626234132581102</v>
      </c>
      <c r="I171" s="325">
        <f t="shared" si="103"/>
        <v>0.87421078193297719</v>
      </c>
      <c r="J171" s="194">
        <f t="shared" si="103"/>
        <v>0.24863252113376427</v>
      </c>
      <c r="K171" s="231" t="s">
        <v>97</v>
      </c>
    </row>
    <row r="172" spans="1:11" x14ac:dyDescent="0.25">
      <c r="A172" s="189"/>
      <c r="B172" s="168" t="s">
        <v>1334</v>
      </c>
      <c r="C172" s="403"/>
      <c r="D172" s="403"/>
      <c r="E172" s="194">
        <f t="shared" si="101"/>
        <v>0.42480883602378933</v>
      </c>
      <c r="F172" s="194">
        <f t="shared" ref="F172:G172" si="104">F175/F178*100</f>
        <v>0.73649754500818332</v>
      </c>
      <c r="G172" s="194">
        <f t="shared" si="104"/>
        <v>0.97560975609756095</v>
      </c>
      <c r="H172" s="194">
        <f t="shared" ref="H172:J172" si="105">H175/H178*100</f>
        <v>0.74013157894736836</v>
      </c>
      <c r="I172" s="325">
        <f t="shared" si="105"/>
        <v>0.95403295750216832</v>
      </c>
      <c r="J172" s="194">
        <f t="shared" si="105"/>
        <v>0.26809651474530832</v>
      </c>
      <c r="K172" s="231"/>
    </row>
    <row r="173" spans="1:11" x14ac:dyDescent="0.25">
      <c r="A173" s="189"/>
      <c r="B173" s="168" t="s">
        <v>1336</v>
      </c>
      <c r="C173" s="404"/>
      <c r="D173" s="404"/>
      <c r="E173" s="194">
        <f t="shared" si="101"/>
        <v>0.48309178743961351</v>
      </c>
      <c r="F173" s="194">
        <f t="shared" ref="F173:G173" si="106">F176/F179*100</f>
        <v>0.58411214953271029</v>
      </c>
      <c r="G173" s="194">
        <f t="shared" si="106"/>
        <v>0.32715376226826609</v>
      </c>
      <c r="H173" s="194">
        <f t="shared" ref="H173:J173" si="107">H176/H179*100</f>
        <v>0.98792535675082327</v>
      </c>
      <c r="I173" s="325">
        <f t="shared" si="107"/>
        <v>0.77262693156732898</v>
      </c>
      <c r="J173" s="194">
        <f t="shared" si="107"/>
        <v>0.22421524663677131</v>
      </c>
      <c r="K173" s="231"/>
    </row>
    <row r="174" spans="1:11" ht="45" x14ac:dyDescent="0.25">
      <c r="A174" s="392"/>
      <c r="B174" s="238" t="s">
        <v>95</v>
      </c>
      <c r="C174" s="389" t="s">
        <v>96</v>
      </c>
      <c r="D174" s="389" t="s">
        <v>1076</v>
      </c>
      <c r="E174" s="166">
        <f t="shared" ref="E174:J174" si="108">E175+E176</f>
        <v>9</v>
      </c>
      <c r="F174" s="166">
        <f t="shared" si="108"/>
        <v>14</v>
      </c>
      <c r="G174" s="166">
        <f t="shared" si="108"/>
        <v>15</v>
      </c>
      <c r="H174" s="166">
        <f t="shared" si="108"/>
        <v>18</v>
      </c>
      <c r="I174" s="337">
        <f t="shared" si="108"/>
        <v>18</v>
      </c>
      <c r="J174" s="166">
        <f t="shared" si="108"/>
        <v>5</v>
      </c>
    </row>
    <row r="175" spans="1:11" x14ac:dyDescent="0.25">
      <c r="A175" s="393"/>
      <c r="B175" s="244" t="s">
        <v>1334</v>
      </c>
      <c r="C175" s="390"/>
      <c r="D175" s="390"/>
      <c r="E175" s="159">
        <v>5</v>
      </c>
      <c r="F175" s="159">
        <v>9</v>
      </c>
      <c r="G175" s="159">
        <v>12</v>
      </c>
      <c r="H175" s="159">
        <v>9</v>
      </c>
      <c r="I175" s="341">
        <v>11</v>
      </c>
      <c r="J175" s="159">
        <v>3</v>
      </c>
    </row>
    <row r="176" spans="1:11" x14ac:dyDescent="0.25">
      <c r="A176" s="394"/>
      <c r="B176" s="245" t="s">
        <v>1336</v>
      </c>
      <c r="C176" s="391"/>
      <c r="D176" s="391"/>
      <c r="E176" s="159">
        <v>4</v>
      </c>
      <c r="F176" s="159">
        <v>5</v>
      </c>
      <c r="G176" s="159">
        <v>3</v>
      </c>
      <c r="H176" s="159">
        <v>9</v>
      </c>
      <c r="I176" s="341">
        <v>7</v>
      </c>
      <c r="J176" s="159">
        <v>2</v>
      </c>
    </row>
    <row r="177" spans="1:11" ht="45" x14ac:dyDescent="0.25">
      <c r="A177" s="392"/>
      <c r="B177" s="238" t="s">
        <v>16</v>
      </c>
      <c r="C177" s="389" t="s">
        <v>17</v>
      </c>
      <c r="D177" s="389" t="s">
        <v>1076</v>
      </c>
      <c r="E177" s="159">
        <f t="shared" ref="E177:J177" si="109">E178+E179</f>
        <v>2005</v>
      </c>
      <c r="F177" s="159">
        <f t="shared" si="109"/>
        <v>2078</v>
      </c>
      <c r="G177" s="166">
        <f t="shared" si="109"/>
        <v>2147</v>
      </c>
      <c r="H177" s="166">
        <f t="shared" si="109"/>
        <v>2127</v>
      </c>
      <c r="I177" s="330">
        <f t="shared" si="109"/>
        <v>2059</v>
      </c>
      <c r="J177" s="190">
        <f t="shared" si="109"/>
        <v>2011</v>
      </c>
      <c r="K177" s="239"/>
    </row>
    <row r="178" spans="1:11" x14ac:dyDescent="0.25">
      <c r="A178" s="393"/>
      <c r="B178" s="244" t="s">
        <v>1334</v>
      </c>
      <c r="C178" s="390"/>
      <c r="D178" s="390"/>
      <c r="E178" s="166">
        <v>1177</v>
      </c>
      <c r="F178" s="166">
        <v>1222</v>
      </c>
      <c r="G178" s="166">
        <v>1230</v>
      </c>
      <c r="H178" s="166">
        <v>1216</v>
      </c>
      <c r="I178" s="337">
        <v>1153</v>
      </c>
      <c r="J178" s="166">
        <v>1119</v>
      </c>
    </row>
    <row r="179" spans="1:11" x14ac:dyDescent="0.25">
      <c r="A179" s="394"/>
      <c r="B179" s="245" t="s">
        <v>1336</v>
      </c>
      <c r="C179" s="391"/>
      <c r="D179" s="391"/>
      <c r="E179" s="166">
        <v>828</v>
      </c>
      <c r="F179" s="166">
        <v>856</v>
      </c>
      <c r="G179" s="166">
        <v>917</v>
      </c>
      <c r="H179" s="166">
        <v>911</v>
      </c>
      <c r="I179" s="337">
        <v>906</v>
      </c>
      <c r="J179" s="166">
        <v>892</v>
      </c>
    </row>
    <row r="180" spans="1:11" ht="60" hidden="1" customHeight="1" x14ac:dyDescent="0.25">
      <c r="A180" s="158" t="s">
        <v>1456</v>
      </c>
      <c r="B180" s="258" t="s">
        <v>1457</v>
      </c>
      <c r="C180" s="208" t="s">
        <v>1493</v>
      </c>
      <c r="D180" s="158"/>
      <c r="E180" s="166"/>
      <c r="F180" s="166"/>
      <c r="G180" s="166"/>
      <c r="H180" s="166"/>
      <c r="I180" s="337"/>
      <c r="J180" s="166"/>
    </row>
    <row r="181" spans="1:11" ht="30" hidden="1" customHeight="1" x14ac:dyDescent="0.25">
      <c r="A181" s="158"/>
      <c r="B181" s="258" t="s">
        <v>1458</v>
      </c>
      <c r="C181" s="167"/>
      <c r="D181" s="158" t="s">
        <v>9</v>
      </c>
      <c r="E181" s="166"/>
      <c r="F181" s="166"/>
      <c r="G181" s="166"/>
      <c r="H181" s="166"/>
      <c r="I181" s="337"/>
      <c r="J181" s="166"/>
    </row>
    <row r="182" spans="1:11" ht="15" hidden="1" customHeight="1" x14ac:dyDescent="0.25">
      <c r="A182" s="158"/>
      <c r="B182" s="258" t="s">
        <v>1459</v>
      </c>
      <c r="C182" s="167"/>
      <c r="D182" s="158" t="s">
        <v>9</v>
      </c>
      <c r="E182" s="166"/>
      <c r="F182" s="166"/>
      <c r="G182" s="166"/>
      <c r="H182" s="166"/>
      <c r="I182" s="337"/>
      <c r="J182" s="166"/>
    </row>
    <row r="183" spans="1:11" ht="15" hidden="1" customHeight="1" x14ac:dyDescent="0.25">
      <c r="A183" s="158"/>
      <c r="B183" s="258" t="s">
        <v>1460</v>
      </c>
      <c r="C183" s="167"/>
      <c r="D183" s="158" t="s">
        <v>9</v>
      </c>
      <c r="E183" s="166"/>
      <c r="F183" s="166"/>
      <c r="G183" s="166"/>
      <c r="H183" s="166"/>
      <c r="I183" s="337"/>
      <c r="J183" s="166"/>
    </row>
    <row r="184" spans="1:11" hidden="1" x14ac:dyDescent="0.25">
      <c r="A184" s="158"/>
      <c r="B184" s="258" t="s">
        <v>1461</v>
      </c>
      <c r="C184" s="167"/>
      <c r="D184" s="158" t="s">
        <v>9</v>
      </c>
      <c r="E184" s="166"/>
      <c r="F184" s="166"/>
      <c r="G184" s="166"/>
      <c r="H184" s="166"/>
      <c r="I184" s="337"/>
      <c r="J184" s="166"/>
    </row>
    <row r="185" spans="1:11" hidden="1" x14ac:dyDescent="0.25">
      <c r="A185" s="158"/>
      <c r="B185" s="258" t="s">
        <v>1462</v>
      </c>
      <c r="C185" s="167"/>
      <c r="D185" s="158" t="s">
        <v>9</v>
      </c>
      <c r="E185" s="166"/>
      <c r="F185" s="166"/>
      <c r="G185" s="166"/>
      <c r="H185" s="166"/>
      <c r="I185" s="337"/>
      <c r="J185" s="166"/>
    </row>
    <row r="186" spans="1:11" hidden="1" x14ac:dyDescent="0.25">
      <c r="A186" s="158"/>
      <c r="B186" s="258" t="s">
        <v>1463</v>
      </c>
      <c r="C186" s="167"/>
      <c r="D186" s="158" t="s">
        <v>9</v>
      </c>
      <c r="E186" s="166"/>
      <c r="F186" s="166"/>
      <c r="G186" s="166"/>
      <c r="H186" s="166"/>
      <c r="I186" s="337"/>
      <c r="J186" s="166"/>
    </row>
    <row r="187" spans="1:11" hidden="1" x14ac:dyDescent="0.25">
      <c r="A187" s="158"/>
      <c r="B187" s="258" t="s">
        <v>1464</v>
      </c>
      <c r="C187" s="167"/>
      <c r="D187" s="158" t="s">
        <v>9</v>
      </c>
      <c r="E187" s="166"/>
      <c r="F187" s="166"/>
      <c r="G187" s="166"/>
      <c r="H187" s="166"/>
      <c r="I187" s="337"/>
      <c r="J187" s="166"/>
    </row>
    <row r="188" spans="1:11" hidden="1" x14ac:dyDescent="0.25">
      <c r="A188" s="158"/>
      <c r="B188" s="258" t="s">
        <v>1465</v>
      </c>
      <c r="C188" s="167"/>
      <c r="D188" s="158" t="s">
        <v>9</v>
      </c>
      <c r="E188" s="166"/>
      <c r="F188" s="166"/>
      <c r="G188" s="166"/>
      <c r="H188" s="166"/>
      <c r="I188" s="337"/>
      <c r="J188" s="166"/>
    </row>
    <row r="189" spans="1:11" hidden="1" x14ac:dyDescent="0.25">
      <c r="A189" s="158"/>
      <c r="B189" s="258" t="s">
        <v>1466</v>
      </c>
      <c r="C189" s="167"/>
      <c r="D189" s="158" t="s">
        <v>9</v>
      </c>
      <c r="E189" s="166"/>
      <c r="F189" s="166"/>
      <c r="G189" s="166"/>
      <c r="H189" s="166"/>
      <c r="I189" s="337"/>
      <c r="J189" s="166"/>
    </row>
    <row r="190" spans="1:11" hidden="1" x14ac:dyDescent="0.25">
      <c r="A190" s="158"/>
      <c r="B190" s="258" t="s">
        <v>1467</v>
      </c>
      <c r="C190" s="167"/>
      <c r="D190" s="158" t="s">
        <v>9</v>
      </c>
      <c r="E190" s="166"/>
      <c r="F190" s="166"/>
      <c r="G190" s="166"/>
      <c r="H190" s="166"/>
      <c r="I190" s="337"/>
      <c r="J190" s="166"/>
    </row>
    <row r="191" spans="1:11" ht="30" hidden="1" x14ac:dyDescent="0.25">
      <c r="A191" s="158"/>
      <c r="B191" s="258" t="s">
        <v>1468</v>
      </c>
      <c r="C191" s="167"/>
      <c r="D191" s="158" t="s">
        <v>9</v>
      </c>
      <c r="E191" s="166"/>
      <c r="F191" s="166"/>
      <c r="G191" s="166"/>
      <c r="H191" s="166"/>
      <c r="I191" s="337"/>
      <c r="J191" s="166"/>
    </row>
    <row r="192" spans="1:11" hidden="1" x14ac:dyDescent="0.25">
      <c r="A192" s="158"/>
      <c r="B192" s="258" t="s">
        <v>1469</v>
      </c>
      <c r="C192" s="167"/>
      <c r="D192" s="158" t="s">
        <v>9</v>
      </c>
      <c r="E192" s="166"/>
      <c r="F192" s="166"/>
      <c r="G192" s="166"/>
      <c r="H192" s="166"/>
      <c r="I192" s="337"/>
      <c r="J192" s="166"/>
    </row>
    <row r="193" spans="1:10" hidden="1" x14ac:dyDescent="0.25">
      <c r="A193" s="158"/>
      <c r="B193" s="258" t="s">
        <v>1470</v>
      </c>
      <c r="C193" s="167"/>
      <c r="D193" s="158" t="s">
        <v>9</v>
      </c>
      <c r="E193" s="166"/>
      <c r="F193" s="166"/>
      <c r="G193" s="166"/>
      <c r="H193" s="166"/>
      <c r="I193" s="337"/>
      <c r="J193" s="166"/>
    </row>
    <row r="194" spans="1:10" ht="30" hidden="1" x14ac:dyDescent="0.25">
      <c r="A194" s="158"/>
      <c r="B194" s="258" t="s">
        <v>1471</v>
      </c>
      <c r="C194" s="167"/>
      <c r="D194" s="158" t="s">
        <v>9</v>
      </c>
      <c r="E194" s="166"/>
      <c r="F194" s="166"/>
      <c r="G194" s="166"/>
      <c r="H194" s="166"/>
      <c r="I194" s="337"/>
      <c r="J194" s="166"/>
    </row>
    <row r="195" spans="1:10" hidden="1" x14ac:dyDescent="0.25">
      <c r="A195" s="158"/>
      <c r="B195" s="258" t="s">
        <v>1472</v>
      </c>
      <c r="C195" s="167"/>
      <c r="D195" s="158" t="s">
        <v>9</v>
      </c>
      <c r="E195" s="166"/>
      <c r="F195" s="166"/>
      <c r="G195" s="166"/>
      <c r="H195" s="166"/>
      <c r="I195" s="337"/>
      <c r="J195" s="166"/>
    </row>
    <row r="196" spans="1:10" ht="45" hidden="1" x14ac:dyDescent="0.25">
      <c r="A196" s="158" t="s">
        <v>1473</v>
      </c>
      <c r="B196" s="258" t="s">
        <v>1474</v>
      </c>
      <c r="C196" s="208" t="s">
        <v>1493</v>
      </c>
      <c r="D196" s="158"/>
      <c r="E196" s="166"/>
      <c r="F196" s="166"/>
      <c r="G196" s="166"/>
      <c r="H196" s="166"/>
      <c r="I196" s="337"/>
      <c r="J196" s="166"/>
    </row>
    <row r="197" spans="1:10" ht="30" hidden="1" x14ac:dyDescent="0.25">
      <c r="A197" s="158"/>
      <c r="B197" s="258" t="s">
        <v>1458</v>
      </c>
      <c r="C197" s="167"/>
      <c r="D197" s="158" t="s">
        <v>9</v>
      </c>
      <c r="E197" s="166"/>
      <c r="F197" s="166"/>
      <c r="G197" s="166"/>
      <c r="H197" s="166"/>
      <c r="I197" s="337"/>
      <c r="J197" s="166"/>
    </row>
    <row r="198" spans="1:10" hidden="1" x14ac:dyDescent="0.25">
      <c r="A198" s="158"/>
      <c r="B198" s="258" t="s">
        <v>1459</v>
      </c>
      <c r="C198" s="167"/>
      <c r="D198" s="158" t="s">
        <v>9</v>
      </c>
      <c r="E198" s="166"/>
      <c r="F198" s="166"/>
      <c r="G198" s="166"/>
      <c r="H198" s="166"/>
      <c r="I198" s="337"/>
      <c r="J198" s="166"/>
    </row>
    <row r="199" spans="1:10" hidden="1" x14ac:dyDescent="0.25">
      <c r="A199" s="158"/>
      <c r="B199" s="258" t="s">
        <v>1460</v>
      </c>
      <c r="C199" s="167"/>
      <c r="D199" s="158" t="s">
        <v>9</v>
      </c>
      <c r="E199" s="166"/>
      <c r="F199" s="166"/>
      <c r="G199" s="166"/>
      <c r="H199" s="166"/>
      <c r="I199" s="337"/>
      <c r="J199" s="166"/>
    </row>
    <row r="200" spans="1:10" hidden="1" x14ac:dyDescent="0.25">
      <c r="A200" s="158"/>
      <c r="B200" s="258" t="s">
        <v>1461</v>
      </c>
      <c r="C200" s="167"/>
      <c r="D200" s="158" t="s">
        <v>9</v>
      </c>
      <c r="E200" s="166"/>
      <c r="F200" s="166"/>
      <c r="G200" s="166"/>
      <c r="H200" s="166"/>
      <c r="I200" s="337"/>
      <c r="J200" s="166"/>
    </row>
    <row r="201" spans="1:10" hidden="1" x14ac:dyDescent="0.25">
      <c r="A201" s="158"/>
      <c r="B201" s="258" t="s">
        <v>1462</v>
      </c>
      <c r="C201" s="167"/>
      <c r="D201" s="158" t="s">
        <v>9</v>
      </c>
      <c r="E201" s="166"/>
      <c r="F201" s="166"/>
      <c r="G201" s="166"/>
      <c r="H201" s="166"/>
      <c r="I201" s="337"/>
      <c r="J201" s="166"/>
    </row>
    <row r="202" spans="1:10" hidden="1" x14ac:dyDescent="0.25">
      <c r="A202" s="158"/>
      <c r="B202" s="258" t="s">
        <v>1463</v>
      </c>
      <c r="C202" s="167"/>
      <c r="D202" s="158" t="s">
        <v>9</v>
      </c>
      <c r="E202" s="166"/>
      <c r="F202" s="166"/>
      <c r="G202" s="166"/>
      <c r="H202" s="166"/>
      <c r="I202" s="337"/>
      <c r="J202" s="166"/>
    </row>
    <row r="203" spans="1:10" hidden="1" x14ac:dyDescent="0.25">
      <c r="A203" s="158"/>
      <c r="B203" s="258" t="s">
        <v>1464</v>
      </c>
      <c r="C203" s="167"/>
      <c r="D203" s="158" t="s">
        <v>9</v>
      </c>
      <c r="E203" s="166"/>
      <c r="F203" s="166"/>
      <c r="G203" s="166"/>
      <c r="H203" s="166"/>
      <c r="I203" s="337"/>
      <c r="J203" s="166"/>
    </row>
    <row r="204" spans="1:10" hidden="1" x14ac:dyDescent="0.25">
      <c r="A204" s="158"/>
      <c r="B204" s="258" t="s">
        <v>1465</v>
      </c>
      <c r="C204" s="167"/>
      <c r="D204" s="158" t="s">
        <v>9</v>
      </c>
      <c r="E204" s="166"/>
      <c r="F204" s="166"/>
      <c r="G204" s="166"/>
      <c r="H204" s="166"/>
      <c r="I204" s="337"/>
      <c r="J204" s="166"/>
    </row>
    <row r="205" spans="1:10" hidden="1" x14ac:dyDescent="0.25">
      <c r="A205" s="158"/>
      <c r="B205" s="258" t="s">
        <v>1466</v>
      </c>
      <c r="C205" s="167"/>
      <c r="D205" s="158" t="s">
        <v>9</v>
      </c>
      <c r="E205" s="166"/>
      <c r="F205" s="166"/>
      <c r="G205" s="166"/>
      <c r="H205" s="166"/>
      <c r="I205" s="337"/>
      <c r="J205" s="166"/>
    </row>
    <row r="206" spans="1:10" hidden="1" x14ac:dyDescent="0.25">
      <c r="A206" s="158"/>
      <c r="B206" s="258" t="s">
        <v>1467</v>
      </c>
      <c r="C206" s="167"/>
      <c r="D206" s="158" t="s">
        <v>9</v>
      </c>
      <c r="E206" s="166"/>
      <c r="F206" s="166"/>
      <c r="G206" s="166"/>
      <c r="H206" s="166"/>
      <c r="I206" s="337"/>
      <c r="J206" s="166"/>
    </row>
    <row r="207" spans="1:10" ht="30" hidden="1" x14ac:dyDescent="0.25">
      <c r="A207" s="158"/>
      <c r="B207" s="258" t="s">
        <v>1468</v>
      </c>
      <c r="C207" s="167"/>
      <c r="D207" s="158" t="s">
        <v>9</v>
      </c>
      <c r="E207" s="166"/>
      <c r="F207" s="166"/>
      <c r="G207" s="166"/>
      <c r="H207" s="166"/>
      <c r="I207" s="337"/>
      <c r="J207" s="166"/>
    </row>
    <row r="208" spans="1:10" hidden="1" x14ac:dyDescent="0.25">
      <c r="A208" s="158"/>
      <c r="B208" s="258" t="s">
        <v>1469</v>
      </c>
      <c r="C208" s="167"/>
      <c r="D208" s="158" t="s">
        <v>9</v>
      </c>
      <c r="E208" s="166"/>
      <c r="F208" s="166"/>
      <c r="G208" s="166"/>
      <c r="H208" s="166"/>
      <c r="I208" s="337"/>
      <c r="J208" s="166"/>
    </row>
    <row r="209" spans="1:10" hidden="1" x14ac:dyDescent="0.25">
      <c r="A209" s="158"/>
      <c r="B209" s="258" t="s">
        <v>1470</v>
      </c>
      <c r="C209" s="167"/>
      <c r="D209" s="158" t="s">
        <v>9</v>
      </c>
      <c r="E209" s="166"/>
      <c r="F209" s="166"/>
      <c r="G209" s="166"/>
      <c r="H209" s="166"/>
      <c r="I209" s="337"/>
      <c r="J209" s="166"/>
    </row>
    <row r="210" spans="1:10" ht="30" hidden="1" x14ac:dyDescent="0.25">
      <c r="A210" s="158"/>
      <c r="B210" s="258" t="s">
        <v>1471</v>
      </c>
      <c r="C210" s="167"/>
      <c r="D210" s="158" t="s">
        <v>9</v>
      </c>
      <c r="E210" s="166"/>
      <c r="F210" s="166"/>
      <c r="G210" s="166"/>
      <c r="H210" s="166"/>
      <c r="I210" s="337"/>
      <c r="J210" s="166"/>
    </row>
    <row r="211" spans="1:10" hidden="1" x14ac:dyDescent="0.25">
      <c r="A211" s="158"/>
      <c r="B211" s="258" t="s">
        <v>1472</v>
      </c>
      <c r="C211" s="167"/>
      <c r="D211" s="158" t="s">
        <v>9</v>
      </c>
      <c r="E211" s="166"/>
      <c r="F211" s="166"/>
      <c r="G211" s="166"/>
      <c r="H211" s="166"/>
      <c r="I211" s="337"/>
      <c r="J211" s="166"/>
    </row>
    <row r="212" spans="1:10" ht="45" hidden="1" x14ac:dyDescent="0.25">
      <c r="A212" s="158" t="s">
        <v>1475</v>
      </c>
      <c r="B212" s="258" t="s">
        <v>1476</v>
      </c>
      <c r="C212" s="208" t="s">
        <v>1493</v>
      </c>
      <c r="D212" s="158" t="s">
        <v>9</v>
      </c>
      <c r="E212" s="166"/>
      <c r="F212" s="166"/>
      <c r="G212" s="166"/>
      <c r="H212" s="166"/>
      <c r="I212" s="337"/>
      <c r="J212" s="166"/>
    </row>
    <row r="213" spans="1:10" s="259" customFormat="1" ht="60" x14ac:dyDescent="0.25">
      <c r="A213" s="189" t="s">
        <v>1456</v>
      </c>
      <c r="B213" s="196" t="s">
        <v>1685</v>
      </c>
      <c r="C213" s="189"/>
      <c r="D213" s="189" t="s">
        <v>9</v>
      </c>
      <c r="E213" s="190"/>
      <c r="F213" s="190"/>
      <c r="G213" s="190"/>
      <c r="H213" s="190"/>
      <c r="I213" s="330"/>
      <c r="J213" s="190"/>
    </row>
    <row r="214" spans="1:10" s="259" customFormat="1" x14ac:dyDescent="0.25">
      <c r="A214" s="189"/>
      <c r="B214" s="196" t="s">
        <v>1686</v>
      </c>
      <c r="C214" s="189"/>
      <c r="D214" s="189" t="s">
        <v>9</v>
      </c>
      <c r="E214" s="190">
        <v>0</v>
      </c>
      <c r="F214" s="190">
        <v>0</v>
      </c>
      <c r="G214" s="190">
        <v>0</v>
      </c>
      <c r="H214" s="190">
        <v>0</v>
      </c>
      <c r="I214" s="330">
        <v>0</v>
      </c>
      <c r="J214" s="190">
        <v>0</v>
      </c>
    </row>
    <row r="215" spans="1:10" s="259" customFormat="1" x14ac:dyDescent="0.25">
      <c r="A215" s="189"/>
      <c r="B215" s="196" t="s">
        <v>1687</v>
      </c>
      <c r="C215" s="189"/>
      <c r="D215" s="189" t="s">
        <v>9</v>
      </c>
      <c r="E215" s="190">
        <v>0</v>
      </c>
      <c r="F215" s="190">
        <v>0</v>
      </c>
      <c r="G215" s="190">
        <v>0</v>
      </c>
      <c r="H215" s="190">
        <v>0</v>
      </c>
      <c r="I215" s="330">
        <v>0</v>
      </c>
      <c r="J215" s="190">
        <v>0</v>
      </c>
    </row>
    <row r="216" spans="1:10" s="259" customFormat="1" x14ac:dyDescent="0.25">
      <c r="A216" s="189"/>
      <c r="B216" s="196" t="s">
        <v>1688</v>
      </c>
      <c r="C216" s="189"/>
      <c r="D216" s="189" t="s">
        <v>9</v>
      </c>
      <c r="E216" s="190">
        <v>0</v>
      </c>
      <c r="F216" s="190">
        <v>0</v>
      </c>
      <c r="G216" s="190">
        <v>0</v>
      </c>
      <c r="H216" s="190">
        <v>0</v>
      </c>
      <c r="I216" s="330">
        <v>0</v>
      </c>
      <c r="J216" s="190">
        <f>45/54*100</f>
        <v>83.333333333333343</v>
      </c>
    </row>
    <row r="217" spans="1:10" s="259" customFormat="1" x14ac:dyDescent="0.25">
      <c r="A217" s="189"/>
      <c r="B217" s="196" t="s">
        <v>1689</v>
      </c>
      <c r="C217" s="189"/>
      <c r="D217" s="189" t="s">
        <v>9</v>
      </c>
      <c r="E217" s="190">
        <v>0</v>
      </c>
      <c r="F217" s="190">
        <v>0</v>
      </c>
      <c r="G217" s="190">
        <v>0</v>
      </c>
      <c r="H217" s="190">
        <v>0</v>
      </c>
      <c r="I217" s="330">
        <v>0</v>
      </c>
      <c r="J217" s="190">
        <v>0</v>
      </c>
    </row>
    <row r="218" spans="1:10" s="259" customFormat="1" x14ac:dyDescent="0.25">
      <c r="A218" s="189"/>
      <c r="B218" s="196" t="s">
        <v>1691</v>
      </c>
      <c r="C218" s="189"/>
      <c r="D218" s="189" t="s">
        <v>9</v>
      </c>
      <c r="E218" s="190">
        <v>0</v>
      </c>
      <c r="F218" s="190">
        <v>0</v>
      </c>
      <c r="G218" s="190">
        <v>0</v>
      </c>
      <c r="H218" s="190">
        <v>0</v>
      </c>
      <c r="I218" s="330">
        <v>0</v>
      </c>
      <c r="J218" s="190">
        <v>0</v>
      </c>
    </row>
    <row r="219" spans="1:10" s="259" customFormat="1" x14ac:dyDescent="0.25">
      <c r="A219" s="189"/>
      <c r="B219" s="258" t="s">
        <v>1690</v>
      </c>
      <c r="C219" s="189"/>
      <c r="D219" s="189" t="s">
        <v>9</v>
      </c>
      <c r="E219" s="190">
        <v>0</v>
      </c>
      <c r="F219" s="190">
        <v>0</v>
      </c>
      <c r="G219" s="190">
        <v>0</v>
      </c>
      <c r="H219" s="190">
        <v>0</v>
      </c>
      <c r="I219" s="330">
        <v>0</v>
      </c>
      <c r="J219" s="190">
        <v>0</v>
      </c>
    </row>
    <row r="220" spans="1:10" s="259" customFormat="1" x14ac:dyDescent="0.25">
      <c r="A220" s="189"/>
      <c r="B220" s="258" t="s">
        <v>1692</v>
      </c>
      <c r="C220" s="189"/>
      <c r="D220" s="189" t="s">
        <v>9</v>
      </c>
      <c r="E220" s="190">
        <v>0</v>
      </c>
      <c r="F220" s="190">
        <v>0</v>
      </c>
      <c r="G220" s="190">
        <v>0</v>
      </c>
      <c r="H220" s="190">
        <v>0</v>
      </c>
      <c r="I220" s="330">
        <v>0</v>
      </c>
      <c r="J220" s="190">
        <v>0</v>
      </c>
    </row>
    <row r="221" spans="1:10" s="259" customFormat="1" x14ac:dyDescent="0.25">
      <c r="A221" s="189"/>
      <c r="B221" s="196" t="s">
        <v>1693</v>
      </c>
      <c r="C221" s="189"/>
      <c r="D221" s="189" t="s">
        <v>9</v>
      </c>
      <c r="E221" s="190">
        <v>0</v>
      </c>
      <c r="F221" s="190">
        <v>0</v>
      </c>
      <c r="G221" s="190">
        <v>0</v>
      </c>
      <c r="H221" s="190">
        <v>0</v>
      </c>
      <c r="I221" s="330">
        <v>0</v>
      </c>
      <c r="J221" s="190">
        <v>0</v>
      </c>
    </row>
    <row r="222" spans="1:10" s="259" customFormat="1" x14ac:dyDescent="0.25">
      <c r="A222" s="189"/>
      <c r="B222" s="196" t="s">
        <v>1694</v>
      </c>
      <c r="C222" s="189"/>
      <c r="D222" s="189" t="s">
        <v>9</v>
      </c>
      <c r="E222" s="190">
        <v>0</v>
      </c>
      <c r="F222" s="190">
        <v>0</v>
      </c>
      <c r="G222" s="190">
        <v>0</v>
      </c>
      <c r="H222" s="190">
        <v>0</v>
      </c>
      <c r="I222" s="330">
        <v>0</v>
      </c>
      <c r="J222" s="190">
        <v>0</v>
      </c>
    </row>
    <row r="223" spans="1:10" s="259" customFormat="1" x14ac:dyDescent="0.25">
      <c r="A223" s="189"/>
      <c r="B223" s="196" t="s">
        <v>1695</v>
      </c>
      <c r="C223" s="189"/>
      <c r="D223" s="189" t="s">
        <v>9</v>
      </c>
      <c r="E223" s="190">
        <v>0</v>
      </c>
      <c r="F223" s="190">
        <v>0</v>
      </c>
      <c r="G223" s="190">
        <v>0</v>
      </c>
      <c r="H223" s="190">
        <v>0</v>
      </c>
      <c r="I223" s="330">
        <v>0</v>
      </c>
      <c r="J223" s="190">
        <v>0</v>
      </c>
    </row>
    <row r="224" spans="1:10" x14ac:dyDescent="0.25">
      <c r="A224" s="158"/>
      <c r="B224" s="258" t="s">
        <v>1696</v>
      </c>
      <c r="C224" s="208"/>
      <c r="D224" s="189" t="s">
        <v>9</v>
      </c>
      <c r="E224" s="190">
        <v>0</v>
      </c>
      <c r="F224" s="190">
        <v>0</v>
      </c>
      <c r="G224" s="190">
        <v>0</v>
      </c>
      <c r="H224" s="190">
        <v>0</v>
      </c>
      <c r="I224" s="330">
        <v>0</v>
      </c>
      <c r="J224" s="190">
        <f>3/54*100</f>
        <v>5.5555555555555554</v>
      </c>
    </row>
    <row r="225" spans="1:11" ht="60" x14ac:dyDescent="0.25">
      <c r="A225" s="189" t="s">
        <v>1473</v>
      </c>
      <c r="B225" s="196" t="s">
        <v>1697</v>
      </c>
      <c r="C225" s="189"/>
      <c r="D225" s="189" t="s">
        <v>9</v>
      </c>
      <c r="E225" s="190"/>
      <c r="F225" s="190"/>
      <c r="G225" s="190"/>
      <c r="H225" s="190"/>
      <c r="I225" s="330"/>
      <c r="J225" s="190"/>
    </row>
    <row r="226" spans="1:11" x14ac:dyDescent="0.25">
      <c r="A226" s="189"/>
      <c r="B226" s="196" t="s">
        <v>1686</v>
      </c>
      <c r="C226" s="189"/>
      <c r="D226" s="189" t="s">
        <v>9</v>
      </c>
      <c r="E226" s="190">
        <v>0</v>
      </c>
      <c r="F226" s="190">
        <v>0</v>
      </c>
      <c r="G226" s="190">
        <v>0</v>
      </c>
      <c r="H226" s="190">
        <v>0</v>
      </c>
      <c r="I226" s="330">
        <v>0</v>
      </c>
      <c r="J226" s="190">
        <v>0</v>
      </c>
    </row>
    <row r="227" spans="1:11" x14ac:dyDescent="0.25">
      <c r="A227" s="189"/>
      <c r="B227" s="196" t="s">
        <v>1687</v>
      </c>
      <c r="C227" s="189"/>
      <c r="D227" s="189" t="s">
        <v>9</v>
      </c>
      <c r="E227" s="190">
        <v>0</v>
      </c>
      <c r="F227" s="190">
        <v>0</v>
      </c>
      <c r="G227" s="190">
        <v>0</v>
      </c>
      <c r="H227" s="190">
        <v>0</v>
      </c>
      <c r="I227" s="330">
        <v>0</v>
      </c>
      <c r="J227" s="190">
        <v>0</v>
      </c>
    </row>
    <row r="228" spans="1:11" x14ac:dyDescent="0.25">
      <c r="A228" s="208"/>
      <c r="B228" s="384" t="s">
        <v>1688</v>
      </c>
      <c r="C228" s="208"/>
      <c r="D228" s="208" t="s">
        <v>9</v>
      </c>
      <c r="E228" s="163">
        <v>0</v>
      </c>
      <c r="F228" s="163">
        <v>0</v>
      </c>
      <c r="G228" s="163">
        <v>0</v>
      </c>
      <c r="H228" s="163">
        <v>0</v>
      </c>
      <c r="I228" s="338">
        <v>0</v>
      </c>
      <c r="J228" s="163">
        <v>0</v>
      </c>
    </row>
    <row r="229" spans="1:11" x14ac:dyDescent="0.25">
      <c r="A229" s="189"/>
      <c r="B229" s="196" t="s">
        <v>1689</v>
      </c>
      <c r="C229" s="189"/>
      <c r="D229" s="189" t="s">
        <v>9</v>
      </c>
      <c r="E229" s="190">
        <v>0</v>
      </c>
      <c r="F229" s="190">
        <v>0</v>
      </c>
      <c r="G229" s="190">
        <v>0</v>
      </c>
      <c r="H229" s="190">
        <v>0</v>
      </c>
      <c r="I229" s="330">
        <v>0</v>
      </c>
      <c r="J229" s="190">
        <v>0</v>
      </c>
    </row>
    <row r="230" spans="1:11" x14ac:dyDescent="0.25">
      <c r="A230" s="189"/>
      <c r="B230" s="196" t="s">
        <v>1691</v>
      </c>
      <c r="C230" s="189"/>
      <c r="D230" s="189" t="s">
        <v>9</v>
      </c>
      <c r="E230" s="190">
        <v>0</v>
      </c>
      <c r="F230" s="190">
        <v>0</v>
      </c>
      <c r="G230" s="190">
        <v>0</v>
      </c>
      <c r="H230" s="190">
        <v>0</v>
      </c>
      <c r="I230" s="330">
        <v>0</v>
      </c>
      <c r="J230" s="190">
        <v>0</v>
      </c>
    </row>
    <row r="231" spans="1:11" x14ac:dyDescent="0.25">
      <c r="A231" s="189"/>
      <c r="B231" s="258" t="s">
        <v>1690</v>
      </c>
      <c r="C231" s="189"/>
      <c r="D231" s="189" t="s">
        <v>9</v>
      </c>
      <c r="E231" s="190">
        <v>0</v>
      </c>
      <c r="F231" s="190">
        <v>0</v>
      </c>
      <c r="G231" s="190">
        <v>0</v>
      </c>
      <c r="H231" s="190">
        <v>0</v>
      </c>
      <c r="I231" s="330">
        <v>0</v>
      </c>
      <c r="J231" s="190">
        <v>0</v>
      </c>
    </row>
    <row r="232" spans="1:11" x14ac:dyDescent="0.25">
      <c r="A232" s="189"/>
      <c r="B232" s="258" t="s">
        <v>1692</v>
      </c>
      <c r="C232" s="189"/>
      <c r="D232" s="189" t="s">
        <v>9</v>
      </c>
      <c r="E232" s="190">
        <v>0</v>
      </c>
      <c r="F232" s="190">
        <v>0</v>
      </c>
      <c r="G232" s="190">
        <v>0</v>
      </c>
      <c r="H232" s="190">
        <v>0</v>
      </c>
      <c r="I232" s="330">
        <v>0</v>
      </c>
      <c r="J232" s="190">
        <v>0</v>
      </c>
    </row>
    <row r="233" spans="1:11" x14ac:dyDescent="0.25">
      <c r="A233" s="189"/>
      <c r="B233" s="196" t="s">
        <v>1693</v>
      </c>
      <c r="C233" s="189"/>
      <c r="D233" s="189" t="s">
        <v>9</v>
      </c>
      <c r="E233" s="190">
        <v>0</v>
      </c>
      <c r="F233" s="190">
        <v>0</v>
      </c>
      <c r="G233" s="190">
        <v>0</v>
      </c>
      <c r="H233" s="190">
        <v>0</v>
      </c>
      <c r="I233" s="330">
        <v>0</v>
      </c>
      <c r="J233" s="190">
        <v>0</v>
      </c>
    </row>
    <row r="234" spans="1:11" x14ac:dyDescent="0.25">
      <c r="A234" s="189"/>
      <c r="B234" s="196" t="s">
        <v>1694</v>
      </c>
      <c r="C234" s="189"/>
      <c r="D234" s="189" t="s">
        <v>9</v>
      </c>
      <c r="E234" s="190">
        <v>0</v>
      </c>
      <c r="F234" s="190">
        <v>0</v>
      </c>
      <c r="G234" s="190">
        <v>0</v>
      </c>
      <c r="H234" s="190">
        <v>0</v>
      </c>
      <c r="I234" s="330">
        <v>0</v>
      </c>
      <c r="J234" s="190">
        <v>0</v>
      </c>
    </row>
    <row r="235" spans="1:11" x14ac:dyDescent="0.25">
      <c r="A235" s="189"/>
      <c r="B235" s="196" t="s">
        <v>1695</v>
      </c>
      <c r="C235" s="189"/>
      <c r="D235" s="189" t="s">
        <v>9</v>
      </c>
      <c r="E235" s="190">
        <v>0</v>
      </c>
      <c r="F235" s="190">
        <v>0</v>
      </c>
      <c r="G235" s="190">
        <v>0</v>
      </c>
      <c r="H235" s="190">
        <v>0</v>
      </c>
      <c r="I235" s="330">
        <v>0</v>
      </c>
      <c r="J235" s="190">
        <v>0</v>
      </c>
    </row>
    <row r="236" spans="1:11" x14ac:dyDescent="0.25">
      <c r="A236" s="158"/>
      <c r="B236" s="258" t="s">
        <v>1696</v>
      </c>
      <c r="C236" s="208"/>
      <c r="D236" s="189" t="s">
        <v>9</v>
      </c>
      <c r="E236" s="190">
        <v>0</v>
      </c>
      <c r="F236" s="190">
        <v>0</v>
      </c>
      <c r="G236" s="190">
        <v>0</v>
      </c>
      <c r="H236" s="190">
        <v>0</v>
      </c>
      <c r="I236" s="330">
        <v>0</v>
      </c>
      <c r="J236" s="190">
        <v>0</v>
      </c>
    </row>
    <row r="237" spans="1:11" ht="28.5" x14ac:dyDescent="0.25">
      <c r="A237" s="191" t="s">
        <v>99</v>
      </c>
      <c r="B237" s="192" t="s">
        <v>98</v>
      </c>
      <c r="C237" s="193"/>
      <c r="D237" s="193"/>
      <c r="E237" s="193"/>
      <c r="F237" s="193"/>
      <c r="G237" s="193"/>
      <c r="H237" s="193"/>
      <c r="I237" s="331"/>
      <c r="J237" s="193"/>
    </row>
    <row r="238" spans="1:11" ht="30" x14ac:dyDescent="0.25">
      <c r="A238" s="189" t="s">
        <v>101</v>
      </c>
      <c r="B238" s="168" t="s">
        <v>100</v>
      </c>
      <c r="C238" s="402" t="s">
        <v>1337</v>
      </c>
      <c r="D238" s="402" t="s">
        <v>1269</v>
      </c>
      <c r="E238" s="194">
        <f t="shared" ref="E238:I238" si="110">E241/E244</f>
        <v>29.111458333333335</v>
      </c>
      <c r="F238" s="194">
        <f t="shared" si="110"/>
        <v>26.83625438157236</v>
      </c>
      <c r="G238" s="194">
        <f t="shared" si="110"/>
        <v>35.217904574520411</v>
      </c>
      <c r="H238" s="194">
        <f t="shared" si="110"/>
        <v>31.448989186647861</v>
      </c>
      <c r="I238" s="325">
        <f t="shared" si="110"/>
        <v>34.296260320543951</v>
      </c>
      <c r="J238" s="194">
        <f t="shared" ref="J238" si="111">J241/J244</f>
        <v>33.495773247140725</v>
      </c>
      <c r="K238" s="231" t="s">
        <v>106</v>
      </c>
    </row>
    <row r="239" spans="1:11" x14ac:dyDescent="0.25">
      <c r="A239" s="189"/>
      <c r="B239" s="168" t="s">
        <v>1334</v>
      </c>
      <c r="C239" s="403"/>
      <c r="D239" s="403"/>
      <c r="E239" s="194">
        <f t="shared" ref="E239:J239" si="112">E242/E245</f>
        <v>25.647636039250671</v>
      </c>
      <c r="F239" s="194">
        <f t="shared" si="112"/>
        <v>23.498310810810811</v>
      </c>
      <c r="G239" s="194">
        <f t="shared" si="112"/>
        <v>27.772804054054053</v>
      </c>
      <c r="H239" s="194">
        <f t="shared" si="112"/>
        <v>24.136513157894736</v>
      </c>
      <c r="I239" s="325">
        <f t="shared" si="112"/>
        <v>32.109280138768433</v>
      </c>
      <c r="J239" s="194">
        <f t="shared" si="112"/>
        <v>29.317247542448616</v>
      </c>
      <c r="K239" s="231"/>
    </row>
    <row r="240" spans="1:11" x14ac:dyDescent="0.25">
      <c r="A240" s="189"/>
      <c r="B240" s="168" t="s">
        <v>1336</v>
      </c>
      <c r="C240" s="404"/>
      <c r="D240" s="404"/>
      <c r="E240" s="194">
        <f t="shared" ref="E240:J240" si="113">E243/E246</f>
        <v>33.971214017521902</v>
      </c>
      <c r="F240" s="194">
        <f t="shared" si="113"/>
        <v>31.697416974169741</v>
      </c>
      <c r="G240" s="194">
        <f t="shared" si="113"/>
        <v>45.600706713780916</v>
      </c>
      <c r="H240" s="194">
        <f t="shared" si="113"/>
        <v>41.20965971459934</v>
      </c>
      <c r="I240" s="325">
        <f t="shared" si="113"/>
        <v>37.079470198675494</v>
      </c>
      <c r="J240" s="194">
        <f t="shared" si="113"/>
        <v>38.737668161434975</v>
      </c>
      <c r="K240" s="231"/>
    </row>
    <row r="241" spans="1:11" ht="45" x14ac:dyDescent="0.25">
      <c r="A241" s="399"/>
      <c r="B241" s="229" t="s">
        <v>102</v>
      </c>
      <c r="C241" s="402" t="s">
        <v>103</v>
      </c>
      <c r="D241" s="402" t="s">
        <v>1269</v>
      </c>
      <c r="E241" s="190">
        <f t="shared" ref="E241:J241" si="114">E242+E243</f>
        <v>55894</v>
      </c>
      <c r="F241" s="190">
        <f t="shared" si="114"/>
        <v>53592</v>
      </c>
      <c r="G241" s="190">
        <f t="shared" si="114"/>
        <v>71598</v>
      </c>
      <c r="H241" s="190">
        <f t="shared" si="114"/>
        <v>66892</v>
      </c>
      <c r="I241" s="330">
        <f t="shared" si="114"/>
        <v>70616</v>
      </c>
      <c r="J241" s="190">
        <f t="shared" si="114"/>
        <v>67360</v>
      </c>
    </row>
    <row r="242" spans="1:11" x14ac:dyDescent="0.25">
      <c r="A242" s="400"/>
      <c r="B242" s="232" t="s">
        <v>1334</v>
      </c>
      <c r="C242" s="403"/>
      <c r="D242" s="403"/>
      <c r="E242" s="190">
        <v>28751</v>
      </c>
      <c r="F242" s="190">
        <v>27822</v>
      </c>
      <c r="G242" s="190">
        <v>32883</v>
      </c>
      <c r="H242" s="190">
        <v>29350</v>
      </c>
      <c r="I242" s="330">
        <v>37022</v>
      </c>
      <c r="J242" s="190">
        <v>32806</v>
      </c>
    </row>
    <row r="243" spans="1:11" x14ac:dyDescent="0.25">
      <c r="A243" s="401"/>
      <c r="B243" s="234" t="s">
        <v>1336</v>
      </c>
      <c r="C243" s="404"/>
      <c r="D243" s="404"/>
      <c r="E243" s="190">
        <v>27143</v>
      </c>
      <c r="F243" s="190">
        <v>25770</v>
      </c>
      <c r="G243" s="190">
        <v>38715</v>
      </c>
      <c r="H243" s="190">
        <v>37542</v>
      </c>
      <c r="I243" s="330">
        <v>33594</v>
      </c>
      <c r="J243" s="190">
        <v>34554</v>
      </c>
    </row>
    <row r="244" spans="1:11" ht="45" x14ac:dyDescent="0.25">
      <c r="A244" s="399"/>
      <c r="B244" s="229" t="s">
        <v>104</v>
      </c>
      <c r="C244" s="402" t="s">
        <v>105</v>
      </c>
      <c r="D244" s="402" t="s">
        <v>1076</v>
      </c>
      <c r="E244" s="190">
        <f t="shared" ref="E244:J244" si="115">E245+E246</f>
        <v>1920</v>
      </c>
      <c r="F244" s="190">
        <f t="shared" si="115"/>
        <v>1997</v>
      </c>
      <c r="G244" s="190">
        <f t="shared" si="115"/>
        <v>2033</v>
      </c>
      <c r="H244" s="190">
        <f t="shared" si="115"/>
        <v>2127</v>
      </c>
      <c r="I244" s="330">
        <f t="shared" si="115"/>
        <v>2059</v>
      </c>
      <c r="J244" s="190">
        <f t="shared" si="115"/>
        <v>2011</v>
      </c>
    </row>
    <row r="245" spans="1:11" x14ac:dyDescent="0.25">
      <c r="A245" s="400"/>
      <c r="B245" s="232" t="s">
        <v>1334</v>
      </c>
      <c r="C245" s="403"/>
      <c r="D245" s="403"/>
      <c r="E245" s="190">
        <v>1121</v>
      </c>
      <c r="F245" s="190">
        <v>1184</v>
      </c>
      <c r="G245" s="190">
        <v>1184</v>
      </c>
      <c r="H245" s="190">
        <v>1216</v>
      </c>
      <c r="I245" s="330">
        <v>1153</v>
      </c>
      <c r="J245" s="190">
        <v>1119</v>
      </c>
    </row>
    <row r="246" spans="1:11" x14ac:dyDescent="0.25">
      <c r="A246" s="401"/>
      <c r="B246" s="234" t="s">
        <v>1336</v>
      </c>
      <c r="C246" s="404"/>
      <c r="D246" s="404"/>
      <c r="E246" s="190">
        <v>799</v>
      </c>
      <c r="F246" s="190">
        <v>813</v>
      </c>
      <c r="G246" s="190">
        <v>849</v>
      </c>
      <c r="H246" s="190">
        <v>911</v>
      </c>
      <c r="I246" s="330">
        <v>906</v>
      </c>
      <c r="J246" s="190">
        <v>892</v>
      </c>
    </row>
    <row r="247" spans="1:11" ht="60" x14ac:dyDescent="0.25">
      <c r="A247" s="158"/>
      <c r="B247" s="258" t="s">
        <v>1698</v>
      </c>
      <c r="C247" s="208"/>
      <c r="D247" s="189"/>
      <c r="E247" s="190">
        <f>1665/E244*100</f>
        <v>86.71875</v>
      </c>
      <c r="F247" s="190">
        <f>1494/F244*100</f>
        <v>74.812218327491237</v>
      </c>
      <c r="G247" s="190">
        <f>1755/G244*100</f>
        <v>86.325627151992137</v>
      </c>
      <c r="H247" s="190">
        <f>1275/H244*100</f>
        <v>59.943582510578274</v>
      </c>
      <c r="I247" s="330">
        <f>1254/I244*100</f>
        <v>60.903351141330745</v>
      </c>
      <c r="J247" s="190">
        <f>1254/J244*100</f>
        <v>62.357036300348092</v>
      </c>
    </row>
    <row r="248" spans="1:11" ht="42.75" x14ac:dyDescent="0.25">
      <c r="A248" s="191" t="s">
        <v>108</v>
      </c>
      <c r="B248" s="192" t="s">
        <v>107</v>
      </c>
      <c r="C248" s="193"/>
      <c r="D248" s="193"/>
      <c r="E248" s="193"/>
      <c r="F248" s="193"/>
      <c r="G248" s="193"/>
      <c r="H248" s="193"/>
      <c r="I248" s="331"/>
      <c r="J248" s="193"/>
    </row>
    <row r="249" spans="1:11" ht="45" x14ac:dyDescent="0.25">
      <c r="A249" s="189" t="s">
        <v>110</v>
      </c>
      <c r="B249" s="260" t="s">
        <v>1699</v>
      </c>
      <c r="C249" s="261"/>
      <c r="D249" s="262" t="s">
        <v>9</v>
      </c>
      <c r="E249" s="194">
        <v>100</v>
      </c>
      <c r="F249" s="194">
        <v>100</v>
      </c>
      <c r="G249" s="194">
        <v>100</v>
      </c>
      <c r="H249" s="194">
        <v>100</v>
      </c>
      <c r="I249" s="325">
        <v>100</v>
      </c>
      <c r="J249" s="194">
        <v>100</v>
      </c>
      <c r="K249" s="263"/>
    </row>
    <row r="250" spans="1:11" x14ac:dyDescent="0.25">
      <c r="A250" s="399"/>
      <c r="B250" s="229" t="s">
        <v>1700</v>
      </c>
      <c r="C250" s="262"/>
      <c r="D250" s="262" t="s">
        <v>1268</v>
      </c>
      <c r="E250" s="162">
        <v>17</v>
      </c>
      <c r="F250" s="162">
        <v>14</v>
      </c>
      <c r="G250" s="162">
        <v>15</v>
      </c>
      <c r="H250" s="162">
        <v>14</v>
      </c>
      <c r="I250" s="322">
        <v>14</v>
      </c>
      <c r="J250" s="162">
        <v>13</v>
      </c>
      <c r="K250" s="231"/>
    </row>
    <row r="251" spans="1:11" ht="30" x14ac:dyDescent="0.25">
      <c r="A251" s="400"/>
      <c r="B251" s="264" t="s">
        <v>1701</v>
      </c>
      <c r="C251" s="261"/>
      <c r="D251" s="261"/>
      <c r="E251" s="162">
        <v>0</v>
      </c>
      <c r="F251" s="162">
        <v>0</v>
      </c>
      <c r="G251" s="162">
        <v>0</v>
      </c>
      <c r="H251" s="162">
        <v>0</v>
      </c>
      <c r="I251" s="322">
        <v>0</v>
      </c>
      <c r="J251" s="162">
        <v>0</v>
      </c>
      <c r="K251" s="231"/>
    </row>
    <row r="252" spans="1:11" ht="30" x14ac:dyDescent="0.25">
      <c r="A252" s="400"/>
      <c r="B252" s="264" t="s">
        <v>1702</v>
      </c>
      <c r="C252" s="261"/>
      <c r="D252" s="261"/>
      <c r="E252" s="162">
        <v>0</v>
      </c>
      <c r="F252" s="162">
        <v>0</v>
      </c>
      <c r="G252" s="162">
        <v>0</v>
      </c>
      <c r="H252" s="162">
        <v>0</v>
      </c>
      <c r="I252" s="322">
        <v>0</v>
      </c>
      <c r="J252" s="162">
        <v>0</v>
      </c>
      <c r="K252" s="231"/>
    </row>
    <row r="253" spans="1:11" ht="60" x14ac:dyDescent="0.25">
      <c r="A253" s="400"/>
      <c r="B253" s="264" t="s">
        <v>1703</v>
      </c>
      <c r="C253" s="261"/>
      <c r="D253" s="261"/>
      <c r="E253" s="162">
        <v>7</v>
      </c>
      <c r="F253" s="162">
        <v>10</v>
      </c>
      <c r="G253" s="162">
        <v>10</v>
      </c>
      <c r="H253" s="162">
        <v>10</v>
      </c>
      <c r="I253" s="322">
        <v>9</v>
      </c>
      <c r="J253" s="162">
        <v>9</v>
      </c>
      <c r="K253" s="231"/>
    </row>
    <row r="254" spans="1:11" ht="28.5" x14ac:dyDescent="0.25">
      <c r="A254" s="191" t="s">
        <v>112</v>
      </c>
      <c r="B254" s="192" t="s">
        <v>111</v>
      </c>
      <c r="C254" s="193"/>
      <c r="D254" s="193"/>
      <c r="E254" s="193"/>
      <c r="F254" s="193"/>
      <c r="G254" s="193"/>
      <c r="H254" s="193"/>
      <c r="I254" s="331"/>
      <c r="J254" s="193"/>
    </row>
    <row r="255" spans="1:11" ht="30.75" customHeight="1" x14ac:dyDescent="0.25">
      <c r="A255" s="189" t="s">
        <v>114</v>
      </c>
      <c r="B255" s="168" t="s">
        <v>113</v>
      </c>
      <c r="C255" s="402" t="s">
        <v>1337</v>
      </c>
      <c r="D255" s="402" t="s">
        <v>1270</v>
      </c>
      <c r="E255" s="194"/>
      <c r="F255" s="194"/>
      <c r="G255" s="194"/>
      <c r="H255" s="194"/>
      <c r="I255" s="325"/>
      <c r="J255" s="194"/>
      <c r="K255" s="231" t="s">
        <v>1323</v>
      </c>
    </row>
    <row r="256" spans="1:11" x14ac:dyDescent="0.25">
      <c r="A256" s="189"/>
      <c r="B256" s="168" t="s">
        <v>1333</v>
      </c>
      <c r="C256" s="403"/>
      <c r="D256" s="403"/>
      <c r="E256" s="194">
        <f t="shared" ref="E256:J257" si="116">E259/E262</f>
        <v>209.16994791666667</v>
      </c>
      <c r="F256" s="194">
        <f t="shared" si="116"/>
        <v>197.87926890335504</v>
      </c>
      <c r="G256" s="194">
        <f t="shared" si="116"/>
        <v>197.90373831775702</v>
      </c>
      <c r="H256" s="194">
        <f t="shared" ref="H256" si="117">H259/H262</f>
        <v>198.49976492712742</v>
      </c>
      <c r="I256" s="325">
        <f t="shared" si="116"/>
        <v>198.81117047110249</v>
      </c>
      <c r="J256" s="194">
        <f t="shared" si="116"/>
        <v>220.91169215589542</v>
      </c>
      <c r="K256" s="231"/>
    </row>
    <row r="257" spans="1:11" x14ac:dyDescent="0.25">
      <c r="A257" s="189"/>
      <c r="B257" s="168" t="s">
        <v>1335</v>
      </c>
      <c r="C257" s="404"/>
      <c r="D257" s="404"/>
      <c r="E257" s="194" t="e">
        <f t="shared" si="116"/>
        <v>#DIV/0!</v>
      </c>
      <c r="F257" s="194" t="e">
        <f t="shared" si="116"/>
        <v>#DIV/0!</v>
      </c>
      <c r="G257" s="194" t="e">
        <f t="shared" si="116"/>
        <v>#DIV/0!</v>
      </c>
      <c r="H257" s="194">
        <f t="shared" ref="H257" si="118">H260/H263</f>
        <v>179.24</v>
      </c>
      <c r="I257" s="325">
        <f t="shared" si="116"/>
        <v>236.19166666666669</v>
      </c>
      <c r="J257" s="194">
        <f t="shared" si="116"/>
        <v>325.34000000000003</v>
      </c>
      <c r="K257" s="231"/>
    </row>
    <row r="258" spans="1:11" ht="30" x14ac:dyDescent="0.25">
      <c r="A258" s="399"/>
      <c r="B258" s="229" t="s">
        <v>115</v>
      </c>
      <c r="C258" s="402" t="s">
        <v>116</v>
      </c>
      <c r="D258" s="402" t="s">
        <v>1270</v>
      </c>
      <c r="E258" s="265"/>
      <c r="F258" s="265"/>
      <c r="G258" s="265"/>
      <c r="H258" s="265"/>
      <c r="I258" s="342"/>
      <c r="J258" s="265"/>
    </row>
    <row r="259" spans="1:11" x14ac:dyDescent="0.25">
      <c r="A259" s="400"/>
      <c r="B259" s="232" t="s">
        <v>1333</v>
      </c>
      <c r="C259" s="403"/>
      <c r="D259" s="403"/>
      <c r="E259" s="265">
        <v>401606.3</v>
      </c>
      <c r="F259" s="265">
        <v>395164.9</v>
      </c>
      <c r="G259" s="265">
        <v>402338.3</v>
      </c>
      <c r="H259" s="265">
        <v>422209</v>
      </c>
      <c r="I259" s="342">
        <f>365044.2+44308</f>
        <v>409352.2</v>
      </c>
      <c r="J259" s="265">
        <v>447788</v>
      </c>
    </row>
    <row r="260" spans="1:11" x14ac:dyDescent="0.25">
      <c r="A260" s="401"/>
      <c r="B260" s="234" t="s">
        <v>1335</v>
      </c>
      <c r="C260" s="404"/>
      <c r="D260" s="404"/>
      <c r="E260" s="265">
        <v>0</v>
      </c>
      <c r="F260" s="265">
        <v>0</v>
      </c>
      <c r="G260" s="265">
        <v>0</v>
      </c>
      <c r="H260" s="265">
        <v>1792.4</v>
      </c>
      <c r="I260" s="342">
        <v>2834.3</v>
      </c>
      <c r="J260" s="265">
        <v>3253.4</v>
      </c>
    </row>
    <row r="261" spans="1:11" ht="30" x14ac:dyDescent="0.25">
      <c r="A261" s="399"/>
      <c r="B261" s="229" t="s">
        <v>117</v>
      </c>
      <c r="C261" s="402" t="s">
        <v>105</v>
      </c>
      <c r="D261" s="402" t="s">
        <v>1076</v>
      </c>
      <c r="E261" s="190"/>
      <c r="F261" s="190"/>
      <c r="G261" s="190"/>
      <c r="H261" s="190"/>
      <c r="I261" s="330"/>
      <c r="J261" s="190"/>
    </row>
    <row r="262" spans="1:11" x14ac:dyDescent="0.25">
      <c r="A262" s="400"/>
      <c r="B262" s="232" t="s">
        <v>1333</v>
      </c>
      <c r="C262" s="403"/>
      <c r="D262" s="403"/>
      <c r="E262" s="190">
        <v>1920</v>
      </c>
      <c r="F262" s="190">
        <v>1997</v>
      </c>
      <c r="G262" s="190">
        <v>2033</v>
      </c>
      <c r="H262" s="190">
        <v>2127</v>
      </c>
      <c r="I262" s="330">
        <v>2059</v>
      </c>
      <c r="J262" s="190">
        <v>2027</v>
      </c>
    </row>
    <row r="263" spans="1:11" x14ac:dyDescent="0.25">
      <c r="A263" s="401"/>
      <c r="B263" s="234" t="s">
        <v>1335</v>
      </c>
      <c r="C263" s="404"/>
      <c r="D263" s="404"/>
      <c r="E263" s="190">
        <v>0</v>
      </c>
      <c r="F263" s="190">
        <v>0</v>
      </c>
      <c r="G263" s="190">
        <v>0</v>
      </c>
      <c r="H263" s="190">
        <v>10</v>
      </c>
      <c r="I263" s="330">
        <v>12</v>
      </c>
      <c r="J263" s="190">
        <v>10</v>
      </c>
    </row>
    <row r="264" spans="1:11" ht="60" x14ac:dyDescent="0.25">
      <c r="A264" s="189" t="s">
        <v>118</v>
      </c>
      <c r="B264" s="168" t="s">
        <v>119</v>
      </c>
      <c r="C264" s="402" t="s">
        <v>1337</v>
      </c>
      <c r="D264" s="402" t="s">
        <v>9</v>
      </c>
      <c r="E264" s="194"/>
      <c r="F264" s="194"/>
      <c r="G264" s="194"/>
      <c r="H264" s="194"/>
      <c r="I264" s="325"/>
      <c r="J264" s="194"/>
      <c r="K264" s="231" t="s">
        <v>1323</v>
      </c>
    </row>
    <row r="265" spans="1:11" x14ac:dyDescent="0.25">
      <c r="A265" s="189"/>
      <c r="B265" s="168" t="s">
        <v>1333</v>
      </c>
      <c r="C265" s="403"/>
      <c r="D265" s="403"/>
      <c r="E265" s="194">
        <f t="shared" ref="E265:G266" si="119">E268/E271*100</f>
        <v>8.0541316209431972</v>
      </c>
      <c r="F265" s="194">
        <f t="shared" si="119"/>
        <v>8.4089199217845501</v>
      </c>
      <c r="G265" s="194">
        <f t="shared" si="119"/>
        <v>9.7794318860521123</v>
      </c>
      <c r="H265" s="194">
        <f t="shared" ref="H265:J265" si="120">H268/H271*100</f>
        <v>10.234220492694378</v>
      </c>
      <c r="I265" s="325">
        <f t="shared" si="120"/>
        <v>10.823931079398132</v>
      </c>
      <c r="J265" s="194">
        <f t="shared" si="120"/>
        <v>9.7488097045923503</v>
      </c>
      <c r="K265" s="263"/>
    </row>
    <row r="266" spans="1:11" x14ac:dyDescent="0.25">
      <c r="A266" s="189"/>
      <c r="B266" s="168" t="s">
        <v>1335</v>
      </c>
      <c r="C266" s="404"/>
      <c r="D266" s="404"/>
      <c r="E266" s="194" t="e">
        <f t="shared" si="119"/>
        <v>#DIV/0!</v>
      </c>
      <c r="F266" s="194" t="e">
        <f t="shared" si="119"/>
        <v>#DIV/0!</v>
      </c>
      <c r="G266" s="194" t="e">
        <f t="shared" si="119"/>
        <v>#DIV/0!</v>
      </c>
      <c r="H266" s="194">
        <f t="shared" ref="H266:J266" si="121">H269/H272*100</f>
        <v>0</v>
      </c>
      <c r="I266" s="325">
        <f t="shared" si="121"/>
        <v>0</v>
      </c>
      <c r="J266" s="194">
        <f t="shared" si="121"/>
        <v>0</v>
      </c>
      <c r="K266" s="231"/>
    </row>
    <row r="267" spans="1:11" ht="45" x14ac:dyDescent="0.25">
      <c r="A267" s="392"/>
      <c r="B267" s="238" t="s">
        <v>120</v>
      </c>
      <c r="C267" s="389" t="s">
        <v>121</v>
      </c>
      <c r="D267" s="389" t="s">
        <v>1270</v>
      </c>
      <c r="E267" s="266"/>
      <c r="F267" s="266"/>
      <c r="G267" s="266"/>
      <c r="H267" s="266"/>
      <c r="I267" s="343"/>
      <c r="J267" s="265"/>
    </row>
    <row r="268" spans="1:11" x14ac:dyDescent="0.25">
      <c r="A268" s="393"/>
      <c r="B268" s="244" t="s">
        <v>1333</v>
      </c>
      <c r="C268" s="390"/>
      <c r="D268" s="390"/>
      <c r="E268" s="266">
        <v>32345.9</v>
      </c>
      <c r="F268" s="266">
        <v>33229.1</v>
      </c>
      <c r="G268" s="266">
        <v>39346.400000000001</v>
      </c>
      <c r="H268" s="266">
        <v>43209.8</v>
      </c>
      <c r="I268" s="343">
        <v>44308</v>
      </c>
      <c r="J268" s="265">
        <v>43654</v>
      </c>
    </row>
    <row r="269" spans="1:11" x14ac:dyDescent="0.25">
      <c r="A269" s="394"/>
      <c r="B269" s="245" t="s">
        <v>1335</v>
      </c>
      <c r="C269" s="391"/>
      <c r="D269" s="391"/>
      <c r="E269" s="266">
        <v>0</v>
      </c>
      <c r="F269" s="266">
        <v>0</v>
      </c>
      <c r="G269" s="266">
        <v>0</v>
      </c>
      <c r="H269" s="266">
        <v>0</v>
      </c>
      <c r="I269" s="343">
        <v>0</v>
      </c>
      <c r="J269" s="265">
        <v>0</v>
      </c>
    </row>
    <row r="270" spans="1:11" ht="30" x14ac:dyDescent="0.25">
      <c r="A270" s="392"/>
      <c r="B270" s="238" t="s">
        <v>115</v>
      </c>
      <c r="C270" s="389" t="s">
        <v>116</v>
      </c>
      <c r="D270" s="389" t="s">
        <v>1270</v>
      </c>
      <c r="E270" s="266"/>
      <c r="F270" s="266"/>
      <c r="G270" s="266"/>
      <c r="H270" s="266"/>
      <c r="I270" s="343"/>
      <c r="J270" s="265"/>
    </row>
    <row r="271" spans="1:11" x14ac:dyDescent="0.25">
      <c r="A271" s="393"/>
      <c r="B271" s="244" t="s">
        <v>1333</v>
      </c>
      <c r="C271" s="390"/>
      <c r="D271" s="390"/>
      <c r="E271" s="266">
        <v>401606.3</v>
      </c>
      <c r="F271" s="266">
        <v>395164.9</v>
      </c>
      <c r="G271" s="266">
        <v>402338.3</v>
      </c>
      <c r="H271" s="266">
        <v>422209</v>
      </c>
      <c r="I271" s="343">
        <v>409352.2</v>
      </c>
      <c r="J271" s="265">
        <v>447788</v>
      </c>
    </row>
    <row r="272" spans="1:11" x14ac:dyDescent="0.25">
      <c r="A272" s="394"/>
      <c r="B272" s="245" t="s">
        <v>1335</v>
      </c>
      <c r="C272" s="391"/>
      <c r="D272" s="391"/>
      <c r="E272" s="266">
        <v>0</v>
      </c>
      <c r="F272" s="266">
        <v>0</v>
      </c>
      <c r="G272" s="266">
        <v>0</v>
      </c>
      <c r="H272" s="266">
        <f>H260</f>
        <v>1792.4</v>
      </c>
      <c r="I272" s="266">
        <f t="shared" ref="I272:J272" si="122">I260</f>
        <v>2834.3</v>
      </c>
      <c r="J272" s="266">
        <f t="shared" si="122"/>
        <v>3253.4</v>
      </c>
    </row>
    <row r="273" spans="1:11" ht="28.5" x14ac:dyDescent="0.25">
      <c r="A273" s="191" t="s">
        <v>123</v>
      </c>
      <c r="B273" s="192" t="s">
        <v>122</v>
      </c>
      <c r="C273" s="193"/>
      <c r="D273" s="193"/>
      <c r="E273" s="193"/>
      <c r="F273" s="193"/>
      <c r="G273" s="193"/>
      <c r="H273" s="193"/>
      <c r="I273" s="331"/>
      <c r="J273" s="193"/>
    </row>
    <row r="274" spans="1:11" ht="45" x14ac:dyDescent="0.25">
      <c r="A274" s="189" t="s">
        <v>125</v>
      </c>
      <c r="B274" s="168" t="s">
        <v>124</v>
      </c>
      <c r="C274" s="193"/>
      <c r="D274" s="189" t="s">
        <v>9</v>
      </c>
      <c r="E274" s="194">
        <f t="shared" ref="E274:J274" si="123">E277/E280*100</f>
        <v>0</v>
      </c>
      <c r="F274" s="194">
        <f t="shared" si="123"/>
        <v>0</v>
      </c>
      <c r="G274" s="194">
        <f t="shared" si="123"/>
        <v>0</v>
      </c>
      <c r="H274" s="194">
        <f t="shared" si="123"/>
        <v>0</v>
      </c>
      <c r="I274" s="325">
        <f t="shared" si="123"/>
        <v>0</v>
      </c>
      <c r="J274" s="194">
        <f t="shared" si="123"/>
        <v>0</v>
      </c>
      <c r="K274" s="231" t="s">
        <v>97</v>
      </c>
    </row>
    <row r="275" spans="1:11" x14ac:dyDescent="0.25">
      <c r="A275" s="189"/>
      <c r="B275" s="168" t="s">
        <v>1334</v>
      </c>
      <c r="C275" s="193"/>
      <c r="D275" s="189" t="s">
        <v>9</v>
      </c>
      <c r="E275" s="194">
        <f t="shared" ref="E275:F276" si="124">E278/E281*100</f>
        <v>0</v>
      </c>
      <c r="F275" s="194">
        <f t="shared" si="124"/>
        <v>0</v>
      </c>
      <c r="G275" s="194">
        <f t="shared" ref="G275:J275" si="125">G278/G281*100</f>
        <v>0</v>
      </c>
      <c r="H275" s="194">
        <f t="shared" ref="H275" si="126">H278/H281*100</f>
        <v>0</v>
      </c>
      <c r="I275" s="325">
        <f t="shared" si="125"/>
        <v>0</v>
      </c>
      <c r="J275" s="194">
        <f t="shared" si="125"/>
        <v>0</v>
      </c>
      <c r="K275" s="231"/>
    </row>
    <row r="276" spans="1:11" x14ac:dyDescent="0.25">
      <c r="A276" s="189"/>
      <c r="B276" s="168" t="s">
        <v>1336</v>
      </c>
      <c r="C276" s="193"/>
      <c r="D276" s="189" t="s">
        <v>9</v>
      </c>
      <c r="E276" s="194">
        <f t="shared" si="124"/>
        <v>0</v>
      </c>
      <c r="F276" s="194">
        <f t="shared" si="124"/>
        <v>0</v>
      </c>
      <c r="G276" s="194">
        <f t="shared" ref="G276:J276" si="127">G279/G282*100</f>
        <v>0</v>
      </c>
      <c r="H276" s="194">
        <f t="shared" ref="H276" si="128">H279/H282*100</f>
        <v>0</v>
      </c>
      <c r="I276" s="325">
        <f t="shared" si="127"/>
        <v>0</v>
      </c>
      <c r="J276" s="194">
        <f t="shared" si="127"/>
        <v>0</v>
      </c>
      <c r="K276" s="231"/>
    </row>
    <row r="277" spans="1:11" ht="45" x14ac:dyDescent="0.25">
      <c r="A277" s="399"/>
      <c r="B277" s="229" t="s">
        <v>126</v>
      </c>
      <c r="C277" s="402" t="s">
        <v>127</v>
      </c>
      <c r="D277" s="402" t="s">
        <v>1268</v>
      </c>
      <c r="E277" s="162">
        <v>0</v>
      </c>
      <c r="F277" s="162">
        <v>0</v>
      </c>
      <c r="G277" s="162">
        <v>0</v>
      </c>
      <c r="H277" s="162">
        <v>0</v>
      </c>
      <c r="I277" s="322">
        <v>0</v>
      </c>
      <c r="J277" s="162">
        <v>0</v>
      </c>
    </row>
    <row r="278" spans="1:11" x14ac:dyDescent="0.25">
      <c r="A278" s="400"/>
      <c r="B278" s="232" t="s">
        <v>1334</v>
      </c>
      <c r="C278" s="403"/>
      <c r="D278" s="403"/>
      <c r="E278" s="162">
        <v>0</v>
      </c>
      <c r="F278" s="162">
        <v>0</v>
      </c>
      <c r="G278" s="162">
        <v>0</v>
      </c>
      <c r="H278" s="162">
        <v>0</v>
      </c>
      <c r="I278" s="322">
        <v>0</v>
      </c>
      <c r="J278" s="162">
        <v>0</v>
      </c>
    </row>
    <row r="279" spans="1:11" x14ac:dyDescent="0.25">
      <c r="A279" s="401"/>
      <c r="B279" s="234" t="s">
        <v>1336</v>
      </c>
      <c r="C279" s="404"/>
      <c r="D279" s="404"/>
      <c r="E279" s="162">
        <v>0</v>
      </c>
      <c r="F279" s="162">
        <v>0</v>
      </c>
      <c r="G279" s="162">
        <v>0</v>
      </c>
      <c r="H279" s="162">
        <v>0</v>
      </c>
      <c r="I279" s="322">
        <v>0</v>
      </c>
      <c r="J279" s="162">
        <v>0</v>
      </c>
    </row>
    <row r="280" spans="1:11" ht="30" x14ac:dyDescent="0.25">
      <c r="A280" s="399"/>
      <c r="B280" s="229" t="s">
        <v>63</v>
      </c>
      <c r="C280" s="402" t="s">
        <v>64</v>
      </c>
      <c r="D280" s="402" t="s">
        <v>1268</v>
      </c>
      <c r="E280" s="162">
        <f>E281+E282</f>
        <v>17</v>
      </c>
      <c r="F280" s="162">
        <f>F281+F282</f>
        <v>14</v>
      </c>
      <c r="G280" s="162">
        <f>G281+G282</f>
        <v>15</v>
      </c>
      <c r="H280" s="162">
        <f>H281+H282</f>
        <v>14</v>
      </c>
      <c r="I280" s="322">
        <f>I281+I282</f>
        <v>14</v>
      </c>
      <c r="J280" s="162">
        <v>13</v>
      </c>
    </row>
    <row r="281" spans="1:11" x14ac:dyDescent="0.25">
      <c r="A281" s="400"/>
      <c r="B281" s="232" t="s">
        <v>1334</v>
      </c>
      <c r="C281" s="403"/>
      <c r="D281" s="403"/>
      <c r="E281" s="162">
        <v>7</v>
      </c>
      <c r="F281" s="162">
        <v>7</v>
      </c>
      <c r="G281" s="162">
        <v>8</v>
      </c>
      <c r="H281" s="162">
        <v>8</v>
      </c>
      <c r="I281" s="322">
        <v>8</v>
      </c>
      <c r="J281" s="162">
        <v>8</v>
      </c>
    </row>
    <row r="282" spans="1:11" x14ac:dyDescent="0.25">
      <c r="A282" s="401"/>
      <c r="B282" s="234" t="s">
        <v>1336</v>
      </c>
      <c r="C282" s="404"/>
      <c r="D282" s="404"/>
      <c r="E282" s="162">
        <v>10</v>
      </c>
      <c r="F282" s="162">
        <v>7</v>
      </c>
      <c r="G282" s="162">
        <v>7</v>
      </c>
      <c r="H282" s="162">
        <v>6</v>
      </c>
      <c r="I282" s="322">
        <v>6</v>
      </c>
      <c r="J282" s="162">
        <v>5</v>
      </c>
    </row>
    <row r="283" spans="1:11" ht="45" x14ac:dyDescent="0.25">
      <c r="A283" s="189" t="s">
        <v>129</v>
      </c>
      <c r="B283" s="168" t="s">
        <v>128</v>
      </c>
      <c r="C283" s="193"/>
      <c r="D283" s="189" t="s">
        <v>9</v>
      </c>
      <c r="E283" s="194">
        <f t="shared" ref="E283:G285" si="129">E286/E289*100</f>
        <v>5.8823529411764701</v>
      </c>
      <c r="F283" s="194">
        <f>F286/F289*100</f>
        <v>7.1428571428571423</v>
      </c>
      <c r="G283" s="194">
        <f>G286/G289*100</f>
        <v>6.666666666666667</v>
      </c>
      <c r="H283" s="194">
        <f>H286/H289*100</f>
        <v>0</v>
      </c>
      <c r="I283" s="325">
        <f>I286/I289*100</f>
        <v>0</v>
      </c>
      <c r="J283" s="194">
        <v>0</v>
      </c>
      <c r="K283" s="231" t="s">
        <v>131</v>
      </c>
    </row>
    <row r="284" spans="1:11" x14ac:dyDescent="0.25">
      <c r="A284" s="189"/>
      <c r="B284" s="168" t="s">
        <v>1334</v>
      </c>
      <c r="C284" s="193"/>
      <c r="D284" s="189" t="s">
        <v>9</v>
      </c>
      <c r="E284" s="194">
        <f t="shared" si="129"/>
        <v>14.285714285714285</v>
      </c>
      <c r="F284" s="194">
        <f t="shared" si="129"/>
        <v>14.285714285714285</v>
      </c>
      <c r="G284" s="194">
        <f t="shared" si="129"/>
        <v>12.5</v>
      </c>
      <c r="H284" s="194">
        <f t="shared" ref="H284:I284" si="130">H287/H290*100</f>
        <v>0</v>
      </c>
      <c r="I284" s="325">
        <f t="shared" si="130"/>
        <v>0</v>
      </c>
      <c r="J284" s="194">
        <v>0</v>
      </c>
      <c r="K284" s="231"/>
    </row>
    <row r="285" spans="1:11" x14ac:dyDescent="0.25">
      <c r="A285" s="189"/>
      <c r="B285" s="168" t="s">
        <v>1336</v>
      </c>
      <c r="C285" s="193"/>
      <c r="D285" s="189" t="s">
        <v>9</v>
      </c>
      <c r="E285" s="194">
        <f t="shared" si="129"/>
        <v>0</v>
      </c>
      <c r="F285" s="194">
        <f t="shared" si="129"/>
        <v>0</v>
      </c>
      <c r="G285" s="194">
        <f t="shared" si="129"/>
        <v>0</v>
      </c>
      <c r="H285" s="194">
        <f t="shared" ref="H285:I285" si="131">H288/H291*100</f>
        <v>0</v>
      </c>
      <c r="I285" s="325">
        <f t="shared" si="131"/>
        <v>0</v>
      </c>
      <c r="J285" s="194">
        <v>0</v>
      </c>
      <c r="K285" s="231"/>
    </row>
    <row r="286" spans="1:11" ht="30" x14ac:dyDescent="0.25">
      <c r="A286" s="193"/>
      <c r="B286" s="168" t="s">
        <v>130</v>
      </c>
      <c r="C286" s="189" t="s">
        <v>1704</v>
      </c>
      <c r="D286" s="189" t="s">
        <v>1268</v>
      </c>
      <c r="E286" s="162">
        <f>E287+E288</f>
        <v>1</v>
      </c>
      <c r="F286" s="162">
        <f>F287+F288</f>
        <v>1</v>
      </c>
      <c r="G286" s="162">
        <f>G287+G288</f>
        <v>1</v>
      </c>
      <c r="H286" s="162">
        <v>0</v>
      </c>
      <c r="I286" s="322">
        <v>0</v>
      </c>
      <c r="J286" s="162">
        <v>0</v>
      </c>
    </row>
    <row r="287" spans="1:11" x14ac:dyDescent="0.25">
      <c r="A287" s="193"/>
      <c r="B287" s="168" t="s">
        <v>1334</v>
      </c>
      <c r="C287" s="189"/>
      <c r="D287" s="189" t="s">
        <v>1268</v>
      </c>
      <c r="E287" s="162">
        <v>1</v>
      </c>
      <c r="F287" s="162">
        <v>1</v>
      </c>
      <c r="G287" s="162">
        <v>1</v>
      </c>
      <c r="H287" s="162">
        <v>0</v>
      </c>
      <c r="I287" s="322">
        <v>0</v>
      </c>
      <c r="J287" s="162">
        <v>0</v>
      </c>
    </row>
    <row r="288" spans="1:11" x14ac:dyDescent="0.25">
      <c r="A288" s="193"/>
      <c r="B288" s="168" t="s">
        <v>1336</v>
      </c>
      <c r="C288" s="189"/>
      <c r="D288" s="189" t="s">
        <v>1268</v>
      </c>
      <c r="E288" s="162">
        <v>0</v>
      </c>
      <c r="F288" s="162">
        <v>0</v>
      </c>
      <c r="G288" s="162">
        <v>0</v>
      </c>
      <c r="H288" s="162">
        <v>0</v>
      </c>
      <c r="I288" s="322">
        <v>0</v>
      </c>
      <c r="J288" s="162">
        <v>0</v>
      </c>
    </row>
    <row r="289" spans="1:10" ht="45" x14ac:dyDescent="0.25">
      <c r="A289" s="193"/>
      <c r="B289" s="168" t="s">
        <v>78</v>
      </c>
      <c r="C289" s="189" t="s">
        <v>64</v>
      </c>
      <c r="D289" s="189" t="s">
        <v>1268</v>
      </c>
      <c r="E289" s="162">
        <f>E290+E291</f>
        <v>17</v>
      </c>
      <c r="F289" s="162">
        <f>F290+F291</f>
        <v>14</v>
      </c>
      <c r="G289" s="162">
        <f>G290+G291</f>
        <v>15</v>
      </c>
      <c r="H289" s="162">
        <v>14</v>
      </c>
      <c r="I289" s="322">
        <v>14</v>
      </c>
      <c r="J289" s="162">
        <v>13</v>
      </c>
    </row>
    <row r="290" spans="1:10" x14ac:dyDescent="0.25">
      <c r="A290" s="193"/>
      <c r="B290" s="168" t="s">
        <v>1334</v>
      </c>
      <c r="C290" s="189"/>
      <c r="D290" s="189" t="s">
        <v>1268</v>
      </c>
      <c r="E290" s="162">
        <v>7</v>
      </c>
      <c r="F290" s="162">
        <v>7</v>
      </c>
      <c r="G290" s="162">
        <v>8</v>
      </c>
      <c r="H290" s="162">
        <v>8</v>
      </c>
      <c r="I290" s="322">
        <v>8</v>
      </c>
      <c r="J290" s="162">
        <v>8</v>
      </c>
    </row>
    <row r="291" spans="1:10" x14ac:dyDescent="0.25">
      <c r="A291" s="193"/>
      <c r="B291" s="168" t="s">
        <v>1336</v>
      </c>
      <c r="C291" s="189"/>
      <c r="D291" s="189" t="s">
        <v>1268</v>
      </c>
      <c r="E291" s="162">
        <v>10</v>
      </c>
      <c r="F291" s="162">
        <v>7</v>
      </c>
      <c r="G291" s="162">
        <v>7</v>
      </c>
      <c r="H291" s="162">
        <v>6</v>
      </c>
      <c r="I291" s="322">
        <v>6</v>
      </c>
      <c r="J291" s="162">
        <v>5</v>
      </c>
    </row>
  </sheetData>
  <mergeCells count="112">
    <mergeCell ref="A168:A170"/>
    <mergeCell ref="C168:C170"/>
    <mergeCell ref="D168:D170"/>
    <mergeCell ref="D162:D164"/>
    <mergeCell ref="C162:C164"/>
    <mergeCell ref="C238:C240"/>
    <mergeCell ref="D238:D240"/>
    <mergeCell ref="A241:A243"/>
    <mergeCell ref="C241:C243"/>
    <mergeCell ref="D241:D243"/>
    <mergeCell ref="A244:A246"/>
    <mergeCell ref="C244:C246"/>
    <mergeCell ref="D244:D246"/>
    <mergeCell ref="C171:C173"/>
    <mergeCell ref="D171:D173"/>
    <mergeCell ref="A174:A176"/>
    <mergeCell ref="C174:C176"/>
    <mergeCell ref="D174:D176"/>
    <mergeCell ref="A177:A179"/>
    <mergeCell ref="C177:C179"/>
    <mergeCell ref="D177:D179"/>
    <mergeCell ref="A280:A282"/>
    <mergeCell ref="C280:C282"/>
    <mergeCell ref="D280:D282"/>
    <mergeCell ref="C264:C266"/>
    <mergeCell ref="D264:D266"/>
    <mergeCell ref="A277:A279"/>
    <mergeCell ref="C277:C279"/>
    <mergeCell ref="D277:D279"/>
    <mergeCell ref="A267:A269"/>
    <mergeCell ref="C267:C269"/>
    <mergeCell ref="D267:D269"/>
    <mergeCell ref="A270:A272"/>
    <mergeCell ref="C270:C272"/>
    <mergeCell ref="D270:D272"/>
    <mergeCell ref="A261:A263"/>
    <mergeCell ref="C261:C263"/>
    <mergeCell ref="D261:D263"/>
    <mergeCell ref="C255:C257"/>
    <mergeCell ref="D255:D257"/>
    <mergeCell ref="A258:A260"/>
    <mergeCell ref="C258:C260"/>
    <mergeCell ref="D258:D260"/>
    <mergeCell ref="A250:A253"/>
    <mergeCell ref="A158:A160"/>
    <mergeCell ref="C158:C160"/>
    <mergeCell ref="D158:D160"/>
    <mergeCell ref="A165:A167"/>
    <mergeCell ref="C165:C167"/>
    <mergeCell ref="D165:D167"/>
    <mergeCell ref="A151:A153"/>
    <mergeCell ref="C151:C153"/>
    <mergeCell ref="D151:D153"/>
    <mergeCell ref="A155:A157"/>
    <mergeCell ref="C155:C157"/>
    <mergeCell ref="D155:D157"/>
    <mergeCell ref="A131:A133"/>
    <mergeCell ref="C131:C133"/>
    <mergeCell ref="D131:D133"/>
    <mergeCell ref="A148:A150"/>
    <mergeCell ref="C148:C150"/>
    <mergeCell ref="D148:D150"/>
    <mergeCell ref="A125:A127"/>
    <mergeCell ref="C125:C127"/>
    <mergeCell ref="D125:D127"/>
    <mergeCell ref="A128:A130"/>
    <mergeCell ref="C128:C130"/>
    <mergeCell ref="D128:D130"/>
    <mergeCell ref="A109:A111"/>
    <mergeCell ref="C109:C111"/>
    <mergeCell ref="D109:D111"/>
    <mergeCell ref="A122:A124"/>
    <mergeCell ref="C122:C124"/>
    <mergeCell ref="D122:D124"/>
    <mergeCell ref="A106:A108"/>
    <mergeCell ref="C106:C108"/>
    <mergeCell ref="D106:D108"/>
    <mergeCell ref="A99:A101"/>
    <mergeCell ref="C99:C101"/>
    <mergeCell ref="D99:D101"/>
    <mergeCell ref="A96:A98"/>
    <mergeCell ref="C96:C98"/>
    <mergeCell ref="D96:D98"/>
    <mergeCell ref="A102:A104"/>
    <mergeCell ref="C102:C104"/>
    <mergeCell ref="D102:D104"/>
    <mergeCell ref="D57:D59"/>
    <mergeCell ref="A93:A95"/>
    <mergeCell ref="C93:C95"/>
    <mergeCell ref="D93:D95"/>
    <mergeCell ref="D86:D91"/>
    <mergeCell ref="C86:C91"/>
    <mergeCell ref="A57:A59"/>
    <mergeCell ref="C57:C59"/>
    <mergeCell ref="A61:A63"/>
    <mergeCell ref="C61:C63"/>
    <mergeCell ref="A64:A66"/>
    <mergeCell ref="C64:C66"/>
    <mergeCell ref="D61:D63"/>
    <mergeCell ref="D64:D66"/>
    <mergeCell ref="D54:D56"/>
    <mergeCell ref="A54:A56"/>
    <mergeCell ref="C54:C56"/>
    <mergeCell ref="A7:I7"/>
    <mergeCell ref="A8:I8"/>
    <mergeCell ref="A3:I3"/>
    <mergeCell ref="A4:I4"/>
    <mergeCell ref="C23:C25"/>
    <mergeCell ref="D23:D25"/>
    <mergeCell ref="A17:A19"/>
    <mergeCell ref="C17:C19"/>
    <mergeCell ref="D17:D19"/>
  </mergeCells>
  <pageMargins left="0.70866141732283472" right="0.70866141732283472" top="0.74803149606299213" bottom="0.74803149606299213" header="0.31496062992125984" footer="0.31496062992125984"/>
  <pageSetup paperSize="9" scale="49" fitToHeight="5" orientation="portrait" r:id="rId1"/>
  <rowBreaks count="2" manualBreakCount="2">
    <brk id="123" max="8" man="1"/>
    <brk id="247"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3:K439"/>
  <sheetViews>
    <sheetView tabSelected="1" topLeftCell="A4" zoomScaleNormal="100" zoomScaleSheetLayoutView="100" workbookViewId="0">
      <pane xSplit="4" ySplit="5" topLeftCell="E326" activePane="bottomRight" state="frozen"/>
      <selection activeCell="A4" sqref="A4"/>
      <selection pane="topRight" activeCell="E4" sqref="E4"/>
      <selection pane="bottomLeft" activeCell="A9" sqref="A9"/>
      <selection pane="bottomRight" activeCell="J338" sqref="J338"/>
    </sheetView>
  </sheetViews>
  <sheetFormatPr defaultRowHeight="15" x14ac:dyDescent="0.25"/>
  <cols>
    <col min="1" max="1" width="10.140625" style="174" bestFit="1" customWidth="1"/>
    <col min="2" max="2" width="60.140625" style="174" customWidth="1"/>
    <col min="3" max="3" width="11.5703125" style="174" customWidth="1"/>
    <col min="4" max="4" width="16.140625" style="174" customWidth="1"/>
    <col min="5" max="5" width="12.5703125" style="174" customWidth="1"/>
    <col min="6" max="6" width="12" style="174" customWidth="1"/>
    <col min="7" max="9" width="11.85546875" style="174" customWidth="1"/>
    <col min="10" max="10" width="12.42578125" style="174" customWidth="1"/>
    <col min="11" max="11" width="41.85546875" style="174" customWidth="1"/>
    <col min="12" max="16384" width="9.140625" style="174"/>
  </cols>
  <sheetData>
    <row r="3" spans="1:11" ht="18.75" x14ac:dyDescent="0.3">
      <c r="A3" s="411" t="s">
        <v>0</v>
      </c>
      <c r="B3" s="411"/>
      <c r="C3" s="411"/>
      <c r="D3" s="411"/>
      <c r="E3" s="411"/>
      <c r="F3" s="411"/>
      <c r="G3" s="411"/>
      <c r="H3" s="267"/>
      <c r="I3" s="267"/>
      <c r="J3" s="267"/>
      <c r="K3" s="268"/>
    </row>
    <row r="4" spans="1:11" ht="18.75" x14ac:dyDescent="0.3">
      <c r="A4" s="411" t="s">
        <v>1</v>
      </c>
      <c r="B4" s="411"/>
      <c r="C4" s="411"/>
      <c r="D4" s="411"/>
      <c r="E4" s="411"/>
      <c r="F4" s="411"/>
      <c r="G4" s="411"/>
      <c r="H4" s="267"/>
      <c r="I4" s="267"/>
      <c r="J4" s="267"/>
      <c r="K4" s="267"/>
    </row>
    <row r="5" spans="1:11" x14ac:dyDescent="0.25">
      <c r="A5" s="269"/>
      <c r="B5" s="269"/>
      <c r="C5" s="269"/>
      <c r="D5" s="269"/>
      <c r="E5" s="269"/>
      <c r="F5" s="269"/>
      <c r="G5" s="269"/>
      <c r="H5" s="269"/>
      <c r="I5" s="269"/>
      <c r="J5" s="269"/>
      <c r="K5" s="269"/>
    </row>
    <row r="6" spans="1:11" ht="57" x14ac:dyDescent="0.25">
      <c r="A6" s="270" t="s">
        <v>6</v>
      </c>
      <c r="B6" s="270" t="s">
        <v>380</v>
      </c>
      <c r="C6" s="271" t="s">
        <v>10</v>
      </c>
      <c r="D6" s="271" t="s">
        <v>11</v>
      </c>
      <c r="E6" s="271" t="s">
        <v>1494</v>
      </c>
      <c r="F6" s="271" t="s">
        <v>1495</v>
      </c>
      <c r="G6" s="271" t="s">
        <v>1516</v>
      </c>
      <c r="H6" s="271" t="s">
        <v>1583</v>
      </c>
      <c r="I6" s="316" t="s">
        <v>1584</v>
      </c>
      <c r="J6" s="271" t="s">
        <v>1743</v>
      </c>
      <c r="K6" s="272" t="s">
        <v>12</v>
      </c>
    </row>
    <row r="7" spans="1:11" x14ac:dyDescent="0.25">
      <c r="A7" s="425" t="s">
        <v>3</v>
      </c>
      <c r="B7" s="426"/>
      <c r="C7" s="426"/>
      <c r="D7" s="426"/>
      <c r="E7" s="426"/>
      <c r="F7" s="426"/>
      <c r="G7" s="426"/>
      <c r="H7" s="426"/>
      <c r="I7" s="426"/>
      <c r="J7" s="273"/>
    </row>
    <row r="8" spans="1:11" ht="15" customHeight="1" x14ac:dyDescent="0.25">
      <c r="A8" s="427" t="s">
        <v>132</v>
      </c>
      <c r="B8" s="427"/>
      <c r="C8" s="427"/>
      <c r="D8" s="427"/>
      <c r="E8" s="427"/>
      <c r="F8" s="427"/>
      <c r="G8" s="427"/>
      <c r="H8" s="427"/>
      <c r="I8" s="428"/>
      <c r="J8" s="273"/>
    </row>
    <row r="9" spans="1:11" ht="73.5" customHeight="1" x14ac:dyDescent="0.25">
      <c r="A9" s="182" t="s">
        <v>134</v>
      </c>
      <c r="B9" s="183" t="s">
        <v>133</v>
      </c>
      <c r="C9" s="157"/>
      <c r="D9" s="171"/>
      <c r="E9" s="171"/>
      <c r="F9" s="171"/>
      <c r="G9" s="171"/>
      <c r="H9" s="171"/>
      <c r="I9" s="317"/>
      <c r="J9" s="171"/>
    </row>
    <row r="10" spans="1:11" ht="78" customHeight="1" x14ac:dyDescent="0.25">
      <c r="A10" s="172" t="s">
        <v>136</v>
      </c>
      <c r="B10" s="157" t="s">
        <v>135</v>
      </c>
      <c r="C10" s="157"/>
      <c r="D10" s="172" t="s">
        <v>9</v>
      </c>
      <c r="E10" s="164">
        <f t="shared" ref="E10:J10" si="0">(E11+E12+E13+E14)/E15*100</f>
        <v>102.30232558139537</v>
      </c>
      <c r="F10" s="164">
        <f t="shared" si="0"/>
        <v>100.92081031307552</v>
      </c>
      <c r="G10" s="164">
        <f t="shared" si="0"/>
        <v>103.36715867158672</v>
      </c>
      <c r="H10" s="164">
        <f t="shared" si="0"/>
        <v>102.09233568342052</v>
      </c>
      <c r="I10" s="318">
        <f t="shared" si="0"/>
        <v>102.49716231555051</v>
      </c>
      <c r="J10" s="164">
        <f t="shared" si="0"/>
        <v>80.470840021401827</v>
      </c>
      <c r="K10" s="173" t="s">
        <v>24</v>
      </c>
    </row>
    <row r="11" spans="1:11" ht="75" customHeight="1" x14ac:dyDescent="0.25">
      <c r="A11" s="171"/>
      <c r="B11" s="157" t="s">
        <v>137</v>
      </c>
      <c r="C11" s="172" t="s">
        <v>1632</v>
      </c>
      <c r="D11" s="172" t="s">
        <v>1076</v>
      </c>
      <c r="E11" s="181">
        <v>4352</v>
      </c>
      <c r="F11" s="181">
        <v>4358</v>
      </c>
      <c r="G11" s="181">
        <v>4453</v>
      </c>
      <c r="H11" s="181">
        <f>4446+10</f>
        <v>4456</v>
      </c>
      <c r="I11" s="319">
        <v>4489</v>
      </c>
      <c r="J11" s="181">
        <v>4488</v>
      </c>
    </row>
    <row r="12" spans="1:11" ht="30" x14ac:dyDescent="0.25">
      <c r="A12" s="171"/>
      <c r="B12" s="157" t="s">
        <v>138</v>
      </c>
      <c r="C12" s="172" t="s">
        <v>1641</v>
      </c>
      <c r="D12" s="172" t="s">
        <v>1076</v>
      </c>
      <c r="E12" s="181">
        <v>47</v>
      </c>
      <c r="F12" s="181">
        <v>26</v>
      </c>
      <c r="G12" s="181">
        <v>29</v>
      </c>
      <c r="H12" s="181">
        <v>33</v>
      </c>
      <c r="I12" s="319">
        <v>26</v>
      </c>
      <c r="J12" s="181">
        <v>24</v>
      </c>
      <c r="K12" s="274"/>
    </row>
    <row r="13" spans="1:11" ht="64.5" customHeight="1" x14ac:dyDescent="0.25">
      <c r="A13" s="171"/>
      <c r="B13" s="157" t="s">
        <v>139</v>
      </c>
      <c r="C13" s="172"/>
      <c r="D13" s="172" t="s">
        <v>1076</v>
      </c>
      <c r="E13" s="181">
        <v>0</v>
      </c>
      <c r="F13" s="181">
        <v>0</v>
      </c>
      <c r="G13" s="181">
        <v>0</v>
      </c>
      <c r="H13" s="181">
        <v>0</v>
      </c>
      <c r="I13" s="319">
        <v>0</v>
      </c>
      <c r="J13" s="181">
        <v>0</v>
      </c>
    </row>
    <row r="14" spans="1:11" ht="63.75" customHeight="1" x14ac:dyDescent="0.25">
      <c r="A14" s="171"/>
      <c r="B14" s="157" t="s">
        <v>140</v>
      </c>
      <c r="C14" s="172"/>
      <c r="D14" s="172" t="s">
        <v>1076</v>
      </c>
      <c r="E14" s="181">
        <v>0</v>
      </c>
      <c r="F14" s="181">
        <v>0</v>
      </c>
      <c r="G14" s="181">
        <v>0</v>
      </c>
      <c r="H14" s="181">
        <v>0</v>
      </c>
      <c r="I14" s="319">
        <v>0</v>
      </c>
      <c r="J14" s="181">
        <v>0</v>
      </c>
    </row>
    <row r="15" spans="1:11" ht="45" x14ac:dyDescent="0.25">
      <c r="A15" s="171"/>
      <c r="B15" s="157" t="s">
        <v>141</v>
      </c>
      <c r="C15" s="172" t="s">
        <v>142</v>
      </c>
      <c r="D15" s="172" t="s">
        <v>1076</v>
      </c>
      <c r="E15" s="181">
        <v>4300</v>
      </c>
      <c r="F15" s="181">
        <v>4344</v>
      </c>
      <c r="G15" s="181">
        <v>4336</v>
      </c>
      <c r="H15" s="181">
        <v>4397</v>
      </c>
      <c r="I15" s="319">
        <v>4405</v>
      </c>
      <c r="J15" s="181">
        <v>5607</v>
      </c>
    </row>
    <row r="16" spans="1:11" ht="61.5" customHeight="1" x14ac:dyDescent="0.25">
      <c r="A16" s="172" t="s">
        <v>145</v>
      </c>
      <c r="B16" s="157" t="s">
        <v>144</v>
      </c>
      <c r="C16" s="171"/>
      <c r="D16" s="172"/>
      <c r="E16" s="164"/>
      <c r="F16" s="164"/>
      <c r="G16" s="164"/>
      <c r="H16" s="164"/>
      <c r="I16" s="318"/>
      <c r="J16" s="164"/>
      <c r="K16" s="173" t="s">
        <v>149</v>
      </c>
    </row>
    <row r="17" spans="1:11" x14ac:dyDescent="0.25">
      <c r="A17" s="172"/>
      <c r="B17" s="185" t="s">
        <v>1333</v>
      </c>
      <c r="C17" s="415"/>
      <c r="D17" s="415" t="s">
        <v>9</v>
      </c>
      <c r="E17" s="164">
        <f t="shared" ref="E17:F19" si="1">E20/E23*100</f>
        <v>100</v>
      </c>
      <c r="F17" s="164">
        <f t="shared" si="1"/>
        <v>100</v>
      </c>
      <c r="G17" s="164">
        <f t="shared" ref="G17:J17" si="2">G20/G23*100</f>
        <v>100</v>
      </c>
      <c r="H17" s="164">
        <f t="shared" ref="H17" si="3">H20/H23*100</f>
        <v>100</v>
      </c>
      <c r="I17" s="318">
        <f t="shared" si="2"/>
        <v>100</v>
      </c>
      <c r="J17" s="164">
        <f t="shared" si="2"/>
        <v>100</v>
      </c>
      <c r="K17" s="173"/>
    </row>
    <row r="18" spans="1:11" x14ac:dyDescent="0.25">
      <c r="A18" s="172"/>
      <c r="B18" s="185" t="s">
        <v>1334</v>
      </c>
      <c r="C18" s="416"/>
      <c r="D18" s="416" t="s">
        <v>9</v>
      </c>
      <c r="E18" s="164">
        <f t="shared" si="1"/>
        <v>100</v>
      </c>
      <c r="F18" s="164">
        <f t="shared" si="1"/>
        <v>100</v>
      </c>
      <c r="G18" s="164">
        <f t="shared" ref="G18:J18" si="4">G21/G24*100</f>
        <v>100</v>
      </c>
      <c r="H18" s="164">
        <f t="shared" ref="H18" si="5">H21/H24*100</f>
        <v>100</v>
      </c>
      <c r="I18" s="318">
        <f t="shared" si="4"/>
        <v>100</v>
      </c>
      <c r="J18" s="164">
        <f t="shared" si="4"/>
        <v>100</v>
      </c>
      <c r="K18" s="173"/>
    </row>
    <row r="19" spans="1:11" x14ac:dyDescent="0.25">
      <c r="A19" s="172"/>
      <c r="B19" s="185" t="s">
        <v>1336</v>
      </c>
      <c r="C19" s="417"/>
      <c r="D19" s="417" t="s">
        <v>9</v>
      </c>
      <c r="E19" s="164">
        <f t="shared" si="1"/>
        <v>100</v>
      </c>
      <c r="F19" s="164">
        <f t="shared" si="1"/>
        <v>100</v>
      </c>
      <c r="G19" s="164">
        <f t="shared" ref="G19:J19" si="6">G22/G25*100</f>
        <v>100</v>
      </c>
      <c r="H19" s="164">
        <f t="shared" ref="H19" si="7">H22/H25*100</f>
        <v>100</v>
      </c>
      <c r="I19" s="318">
        <f t="shared" si="6"/>
        <v>100</v>
      </c>
      <c r="J19" s="164">
        <f t="shared" si="6"/>
        <v>100</v>
      </c>
      <c r="K19" s="173"/>
    </row>
    <row r="20" spans="1:11" ht="124.5" customHeight="1" x14ac:dyDescent="0.25">
      <c r="A20" s="412"/>
      <c r="B20" s="211" t="s">
        <v>146</v>
      </c>
      <c r="C20" s="415" t="s">
        <v>147</v>
      </c>
      <c r="D20" s="415" t="s">
        <v>1076</v>
      </c>
      <c r="E20" s="181">
        <f t="shared" ref="E20:J20" si="8">E21+E22</f>
        <v>4352</v>
      </c>
      <c r="F20" s="181">
        <f t="shared" si="8"/>
        <v>4358</v>
      </c>
      <c r="G20" s="181">
        <f t="shared" si="8"/>
        <v>4453</v>
      </c>
      <c r="H20" s="181">
        <f t="shared" si="8"/>
        <v>4456</v>
      </c>
      <c r="I20" s="319">
        <f t="shared" si="8"/>
        <v>4489</v>
      </c>
      <c r="J20" s="181">
        <f t="shared" si="8"/>
        <v>4488</v>
      </c>
    </row>
    <row r="21" spans="1:11" x14ac:dyDescent="0.25">
      <c r="A21" s="413"/>
      <c r="B21" s="213" t="s">
        <v>1334</v>
      </c>
      <c r="C21" s="416"/>
      <c r="D21" s="416"/>
      <c r="E21" s="181">
        <v>2344</v>
      </c>
      <c r="F21" s="181">
        <v>2348</v>
      </c>
      <c r="G21" s="181">
        <v>2429</v>
      </c>
      <c r="H21" s="181">
        <v>2419</v>
      </c>
      <c r="I21" s="319">
        <v>2453</v>
      </c>
      <c r="J21" s="181">
        <v>2495</v>
      </c>
    </row>
    <row r="22" spans="1:11" x14ac:dyDescent="0.25">
      <c r="A22" s="414"/>
      <c r="B22" s="214" t="s">
        <v>1336</v>
      </c>
      <c r="C22" s="417"/>
      <c r="D22" s="417"/>
      <c r="E22" s="181">
        <v>2008</v>
      </c>
      <c r="F22" s="181">
        <v>2010</v>
      </c>
      <c r="G22" s="181">
        <v>2024</v>
      </c>
      <c r="H22" s="181">
        <v>2037</v>
      </c>
      <c r="I22" s="319">
        <v>2036</v>
      </c>
      <c r="J22" s="181">
        <v>1993</v>
      </c>
    </row>
    <row r="23" spans="1:11" ht="75" x14ac:dyDescent="0.25">
      <c r="A23" s="421"/>
      <c r="B23" s="212" t="s">
        <v>148</v>
      </c>
      <c r="C23" s="275"/>
      <c r="D23" s="172"/>
      <c r="E23" s="181">
        <f t="shared" ref="E23:J23" si="9">E24+E25</f>
        <v>4352</v>
      </c>
      <c r="F23" s="181">
        <f t="shared" si="9"/>
        <v>4358</v>
      </c>
      <c r="G23" s="181">
        <f t="shared" si="9"/>
        <v>4453</v>
      </c>
      <c r="H23" s="181">
        <f t="shared" si="9"/>
        <v>4456</v>
      </c>
      <c r="I23" s="319">
        <f t="shared" si="9"/>
        <v>4489</v>
      </c>
      <c r="J23" s="181">
        <f t="shared" si="9"/>
        <v>4488</v>
      </c>
    </row>
    <row r="24" spans="1:11" x14ac:dyDescent="0.25">
      <c r="A24" s="421"/>
      <c r="B24" s="213" t="s">
        <v>1334</v>
      </c>
      <c r="C24" s="275" t="s">
        <v>1642</v>
      </c>
      <c r="D24" s="415" t="s">
        <v>1076</v>
      </c>
      <c r="E24" s="181">
        <v>2344</v>
      </c>
      <c r="F24" s="181">
        <v>2348</v>
      </c>
      <c r="G24" s="181">
        <v>2429</v>
      </c>
      <c r="H24" s="181">
        <v>2419</v>
      </c>
      <c r="I24" s="319">
        <v>2453</v>
      </c>
      <c r="J24" s="181">
        <v>2495</v>
      </c>
    </row>
    <row r="25" spans="1:11" x14ac:dyDescent="0.25">
      <c r="A25" s="421"/>
      <c r="B25" s="214" t="s">
        <v>1336</v>
      </c>
      <c r="C25" s="275" t="s">
        <v>1642</v>
      </c>
      <c r="D25" s="416"/>
      <c r="E25" s="181">
        <v>2008</v>
      </c>
      <c r="F25" s="181">
        <v>2010</v>
      </c>
      <c r="G25" s="181">
        <v>2024</v>
      </c>
      <c r="H25" s="181">
        <v>2037</v>
      </c>
      <c r="I25" s="319">
        <v>2036</v>
      </c>
      <c r="J25" s="181">
        <v>1993</v>
      </c>
    </row>
    <row r="26" spans="1:11" x14ac:dyDescent="0.25">
      <c r="A26" s="172"/>
      <c r="B26" s="185" t="s">
        <v>1335</v>
      </c>
      <c r="C26" s="415"/>
      <c r="D26" s="415" t="s">
        <v>9</v>
      </c>
      <c r="E26" s="164" t="e">
        <f t="shared" ref="E26:F28" si="10">E29/E32*100</f>
        <v>#DIV/0!</v>
      </c>
      <c r="F26" s="164" t="e">
        <f t="shared" si="10"/>
        <v>#DIV/0!</v>
      </c>
      <c r="G26" s="164" t="e">
        <f t="shared" ref="G26:J26" si="11">G29/G32*100</f>
        <v>#DIV/0!</v>
      </c>
      <c r="H26" s="164" t="e">
        <f t="shared" ref="H26" si="12">H29/H32*100</f>
        <v>#DIV/0!</v>
      </c>
      <c r="I26" s="318" t="e">
        <f t="shared" si="11"/>
        <v>#DIV/0!</v>
      </c>
      <c r="J26" s="164" t="e">
        <f t="shared" si="11"/>
        <v>#DIV/0!</v>
      </c>
      <c r="K26" s="173"/>
    </row>
    <row r="27" spans="1:11" x14ac:dyDescent="0.25">
      <c r="A27" s="172"/>
      <c r="B27" s="185" t="s">
        <v>1334</v>
      </c>
      <c r="C27" s="416"/>
      <c r="D27" s="416"/>
      <c r="E27" s="164" t="e">
        <f t="shared" si="10"/>
        <v>#DIV/0!</v>
      </c>
      <c r="F27" s="164" t="e">
        <f t="shared" si="10"/>
        <v>#DIV/0!</v>
      </c>
      <c r="G27" s="164" t="e">
        <f t="shared" ref="G27:J27" si="13">G30/G33*100</f>
        <v>#DIV/0!</v>
      </c>
      <c r="H27" s="164" t="e">
        <f t="shared" ref="H27" si="14">H30/H33*100</f>
        <v>#DIV/0!</v>
      </c>
      <c r="I27" s="318" t="e">
        <f t="shared" si="13"/>
        <v>#DIV/0!</v>
      </c>
      <c r="J27" s="164" t="e">
        <f t="shared" si="13"/>
        <v>#DIV/0!</v>
      </c>
      <c r="K27" s="173"/>
    </row>
    <row r="28" spans="1:11" x14ac:dyDescent="0.25">
      <c r="A28" s="172"/>
      <c r="B28" s="185" t="s">
        <v>1336</v>
      </c>
      <c r="C28" s="417"/>
      <c r="D28" s="417"/>
      <c r="E28" s="164" t="e">
        <f t="shared" si="10"/>
        <v>#DIV/0!</v>
      </c>
      <c r="F28" s="164" t="e">
        <f t="shared" si="10"/>
        <v>#DIV/0!</v>
      </c>
      <c r="G28" s="164" t="e">
        <f t="shared" ref="G28:J28" si="15">G31/G34*100</f>
        <v>#DIV/0!</v>
      </c>
      <c r="H28" s="164" t="e">
        <f t="shared" ref="H28" si="16">H31/H34*100</f>
        <v>#DIV/0!</v>
      </c>
      <c r="I28" s="318" t="e">
        <f t="shared" si="15"/>
        <v>#DIV/0!</v>
      </c>
      <c r="J28" s="164" t="e">
        <f t="shared" si="15"/>
        <v>#DIV/0!</v>
      </c>
      <c r="K28" s="173"/>
    </row>
    <row r="29" spans="1:11" ht="135" x14ac:dyDescent="0.25">
      <c r="A29" s="412"/>
      <c r="B29" s="212" t="s">
        <v>146</v>
      </c>
      <c r="C29" s="415" t="s">
        <v>147</v>
      </c>
      <c r="D29" s="415" t="s">
        <v>1076</v>
      </c>
      <c r="E29" s="181">
        <f t="shared" ref="E29:J29" si="17">E30+E31</f>
        <v>0</v>
      </c>
      <c r="F29" s="181">
        <f t="shared" si="17"/>
        <v>0</v>
      </c>
      <c r="G29" s="181">
        <f t="shared" si="17"/>
        <v>0</v>
      </c>
      <c r="H29" s="181">
        <f t="shared" si="17"/>
        <v>0</v>
      </c>
      <c r="I29" s="319">
        <f t="shared" si="17"/>
        <v>0</v>
      </c>
      <c r="J29" s="181">
        <f t="shared" si="17"/>
        <v>0</v>
      </c>
    </row>
    <row r="30" spans="1:11" x14ac:dyDescent="0.25">
      <c r="A30" s="413"/>
      <c r="B30" s="213" t="s">
        <v>1334</v>
      </c>
      <c r="C30" s="416"/>
      <c r="D30" s="416"/>
      <c r="E30" s="165">
        <v>0</v>
      </c>
      <c r="F30" s="165">
        <v>0</v>
      </c>
      <c r="G30" s="165">
        <v>0</v>
      </c>
      <c r="H30" s="165">
        <v>0</v>
      </c>
      <c r="I30" s="320">
        <v>0</v>
      </c>
      <c r="J30" s="165">
        <v>0</v>
      </c>
      <c r="K30" s="173"/>
    </row>
    <row r="31" spans="1:11" x14ac:dyDescent="0.25">
      <c r="A31" s="414"/>
      <c r="B31" s="214" t="s">
        <v>1336</v>
      </c>
      <c r="C31" s="417"/>
      <c r="D31" s="417"/>
      <c r="E31" s="165">
        <v>0</v>
      </c>
      <c r="F31" s="165">
        <v>0</v>
      </c>
      <c r="G31" s="165">
        <v>0</v>
      </c>
      <c r="H31" s="165">
        <v>0</v>
      </c>
      <c r="I31" s="320">
        <v>0</v>
      </c>
      <c r="J31" s="165">
        <v>0</v>
      </c>
      <c r="K31" s="173"/>
    </row>
    <row r="32" spans="1:11" ht="75" x14ac:dyDescent="0.25">
      <c r="A32" s="412"/>
      <c r="B32" s="212" t="s">
        <v>148</v>
      </c>
      <c r="C32" s="276"/>
      <c r="D32" s="276"/>
      <c r="E32" s="181">
        <f t="shared" ref="E32:J32" si="18">E33+E34</f>
        <v>0</v>
      </c>
      <c r="F32" s="181">
        <f t="shared" si="18"/>
        <v>0</v>
      </c>
      <c r="G32" s="181">
        <f t="shared" si="18"/>
        <v>0</v>
      </c>
      <c r="H32" s="181">
        <f t="shared" si="18"/>
        <v>0</v>
      </c>
      <c r="I32" s="319">
        <f t="shared" si="18"/>
        <v>0</v>
      </c>
      <c r="J32" s="181">
        <f t="shared" si="18"/>
        <v>0</v>
      </c>
    </row>
    <row r="33" spans="1:11" x14ac:dyDescent="0.25">
      <c r="A33" s="413"/>
      <c r="B33" s="213" t="s">
        <v>1334</v>
      </c>
      <c r="C33" s="275" t="s">
        <v>1642</v>
      </c>
      <c r="D33" s="172" t="s">
        <v>1076</v>
      </c>
      <c r="E33" s="181">
        <v>0</v>
      </c>
      <c r="F33" s="181">
        <v>0</v>
      </c>
      <c r="G33" s="181">
        <v>0</v>
      </c>
      <c r="H33" s="181">
        <v>0</v>
      </c>
      <c r="I33" s="319">
        <v>0</v>
      </c>
      <c r="J33" s="181">
        <v>0</v>
      </c>
      <c r="K33" s="173"/>
    </row>
    <row r="34" spans="1:11" x14ac:dyDescent="0.25">
      <c r="A34" s="414"/>
      <c r="B34" s="214" t="s">
        <v>1336</v>
      </c>
      <c r="C34" s="275" t="s">
        <v>1642</v>
      </c>
      <c r="D34" s="172" t="s">
        <v>1076</v>
      </c>
      <c r="E34" s="165">
        <v>0</v>
      </c>
      <c r="F34" s="165">
        <v>0</v>
      </c>
      <c r="G34" s="165">
        <v>0</v>
      </c>
      <c r="H34" s="165">
        <v>0</v>
      </c>
      <c r="I34" s="320">
        <v>0</v>
      </c>
      <c r="J34" s="165">
        <v>0</v>
      </c>
      <c r="K34" s="173"/>
    </row>
    <row r="35" spans="1:11" s="179" customFormat="1" ht="90" x14ac:dyDescent="0.25">
      <c r="A35" s="176" t="s">
        <v>151</v>
      </c>
      <c r="B35" s="170" t="s">
        <v>1595</v>
      </c>
      <c r="C35" s="176"/>
      <c r="D35" s="176"/>
      <c r="E35" s="177"/>
      <c r="F35" s="177"/>
      <c r="G35" s="177"/>
      <c r="H35" s="177"/>
      <c r="I35" s="321"/>
      <c r="J35" s="177"/>
      <c r="K35" s="178"/>
    </row>
    <row r="36" spans="1:11" x14ac:dyDescent="0.25">
      <c r="A36" s="189" t="s">
        <v>1585</v>
      </c>
      <c r="B36" s="168" t="s">
        <v>1586</v>
      </c>
      <c r="C36" s="189"/>
      <c r="D36" s="189" t="s">
        <v>1076</v>
      </c>
      <c r="E36" s="162"/>
      <c r="F36" s="162"/>
      <c r="G36" s="162"/>
      <c r="H36" s="162"/>
      <c r="I36" s="322"/>
      <c r="J36" s="162"/>
      <c r="K36" s="173"/>
    </row>
    <row r="37" spans="1:11" x14ac:dyDescent="0.25">
      <c r="A37" s="193"/>
      <c r="B37" s="168" t="s">
        <v>1588</v>
      </c>
      <c r="C37" s="189"/>
      <c r="D37" s="189" t="s">
        <v>1076</v>
      </c>
      <c r="E37" s="162">
        <f>1837/121</f>
        <v>15.181818181818182</v>
      </c>
      <c r="F37" s="162">
        <f>1847/120</f>
        <v>15.391666666666667</v>
      </c>
      <c r="G37" s="162">
        <f>1898/122</f>
        <v>15.557377049180328</v>
      </c>
      <c r="H37" s="162">
        <f>1860/118</f>
        <v>15.76271186440678</v>
      </c>
      <c r="I37" s="322">
        <f>1865/121</f>
        <v>15.413223140495868</v>
      </c>
      <c r="J37" s="162">
        <f>1852/119</f>
        <v>15.563025210084033</v>
      </c>
      <c r="K37" s="173"/>
    </row>
    <row r="38" spans="1:11" x14ac:dyDescent="0.25">
      <c r="A38" s="193"/>
      <c r="B38" s="168" t="s">
        <v>1587</v>
      </c>
      <c r="C38" s="189"/>
      <c r="D38" s="189" t="s">
        <v>1076</v>
      </c>
      <c r="E38" s="162">
        <f>1982/153</f>
        <v>12.954248366013072</v>
      </c>
      <c r="F38" s="162">
        <f>2013/151</f>
        <v>13.331125827814569</v>
      </c>
      <c r="G38" s="162">
        <f>2066/151</f>
        <v>13.682119205298013</v>
      </c>
      <c r="H38" s="162">
        <f>2138/154</f>
        <v>13.883116883116884</v>
      </c>
      <c r="I38" s="322">
        <f>2181/157</f>
        <v>13.891719745222931</v>
      </c>
      <c r="J38" s="162">
        <f>2194/157</f>
        <v>13.97452229299363</v>
      </c>
      <c r="K38" s="173"/>
    </row>
    <row r="39" spans="1:11" x14ac:dyDescent="0.25">
      <c r="A39" s="193"/>
      <c r="B39" s="168" t="s">
        <v>1589</v>
      </c>
      <c r="C39" s="189"/>
      <c r="D39" s="189" t="s">
        <v>1076</v>
      </c>
      <c r="E39" s="162">
        <f>533/47</f>
        <v>11.340425531914894</v>
      </c>
      <c r="F39" s="162">
        <f>496/44</f>
        <v>11.272727272727273</v>
      </c>
      <c r="G39" s="162">
        <f>489/41</f>
        <v>11.926829268292684</v>
      </c>
      <c r="H39" s="162">
        <f>458/40</f>
        <v>11.45</v>
      </c>
      <c r="I39" s="322">
        <f>443/43</f>
        <v>10.302325581395349</v>
      </c>
      <c r="J39" s="162">
        <f>442/41</f>
        <v>10.780487804878049</v>
      </c>
      <c r="K39" s="173"/>
    </row>
    <row r="40" spans="1:11" ht="45" x14ac:dyDescent="0.25">
      <c r="A40" s="189" t="s">
        <v>1611</v>
      </c>
      <c r="B40" s="168" t="s">
        <v>1597</v>
      </c>
      <c r="C40" s="189"/>
      <c r="D40" s="189" t="s">
        <v>1598</v>
      </c>
      <c r="E40" s="162">
        <f>E41/E41*100</f>
        <v>100</v>
      </c>
      <c r="F40" s="162">
        <f t="shared" ref="F40:J40" si="19">F41/F41*100</f>
        <v>100</v>
      </c>
      <c r="G40" s="162">
        <f t="shared" si="19"/>
        <v>100</v>
      </c>
      <c r="H40" s="162">
        <f t="shared" si="19"/>
        <v>100</v>
      </c>
      <c r="I40" s="322">
        <f t="shared" si="19"/>
        <v>100</v>
      </c>
      <c r="J40" s="162">
        <f t="shared" si="19"/>
        <v>100</v>
      </c>
      <c r="K40" s="173"/>
    </row>
    <row r="41" spans="1:11" x14ac:dyDescent="0.25">
      <c r="A41" s="189"/>
      <c r="B41" s="168" t="s">
        <v>1643</v>
      </c>
      <c r="C41" s="189"/>
      <c r="D41" s="189" t="s">
        <v>1076</v>
      </c>
      <c r="E41" s="162">
        <v>1094</v>
      </c>
      <c r="F41" s="162">
        <v>1065</v>
      </c>
      <c r="G41" s="162">
        <v>1084</v>
      </c>
      <c r="H41" s="162">
        <v>1113</v>
      </c>
      <c r="I41" s="322">
        <v>1160</v>
      </c>
      <c r="J41" s="162">
        <v>1110</v>
      </c>
      <c r="K41" s="173"/>
    </row>
    <row r="42" spans="1:11" s="179" customFormat="1" ht="108.75" customHeight="1" x14ac:dyDescent="0.25">
      <c r="A42" s="176" t="s">
        <v>1596</v>
      </c>
      <c r="B42" s="170" t="s">
        <v>150</v>
      </c>
      <c r="C42" s="175"/>
      <c r="D42" s="176" t="s">
        <v>9</v>
      </c>
      <c r="E42" s="180" t="e">
        <f>E43/E44*100</f>
        <v>#DIV/0!</v>
      </c>
      <c r="F42" s="180" t="e">
        <f>F43/F44*100</f>
        <v>#DIV/0!</v>
      </c>
      <c r="G42" s="180" t="e">
        <f>G43/G44*100</f>
        <v>#DIV/0!</v>
      </c>
      <c r="H42" s="180" t="e">
        <f t="shared" ref="H42" si="20">H43/H44*100</f>
        <v>#DIV/0!</v>
      </c>
      <c r="I42" s="323" t="e">
        <f t="shared" ref="I42:J42" si="21">I43/I44*100</f>
        <v>#DIV/0!</v>
      </c>
      <c r="J42" s="323" t="e">
        <f t="shared" si="21"/>
        <v>#DIV/0!</v>
      </c>
      <c r="K42" s="178" t="s">
        <v>106</v>
      </c>
    </row>
    <row r="43" spans="1:11" ht="71.25" x14ac:dyDescent="0.25">
      <c r="A43" s="182" t="s">
        <v>153</v>
      </c>
      <c r="B43" s="183" t="s">
        <v>152</v>
      </c>
      <c r="C43" s="171"/>
      <c r="D43" s="172"/>
      <c r="E43" s="165"/>
      <c r="F43" s="165"/>
      <c r="G43" s="165"/>
      <c r="H43" s="165"/>
      <c r="I43" s="320"/>
      <c r="J43" s="165"/>
    </row>
    <row r="44" spans="1:11" ht="51.75" customHeight="1" x14ac:dyDescent="0.25">
      <c r="A44" s="172" t="s">
        <v>159</v>
      </c>
      <c r="B44" s="157" t="s">
        <v>154</v>
      </c>
      <c r="C44" s="171"/>
      <c r="D44" s="172"/>
      <c r="E44" s="164"/>
      <c r="F44" s="164"/>
      <c r="G44" s="164"/>
      <c r="H44" s="164"/>
      <c r="I44" s="318"/>
      <c r="J44" s="164"/>
      <c r="K44" s="173" t="s">
        <v>158</v>
      </c>
    </row>
    <row r="45" spans="1:11" x14ac:dyDescent="0.25">
      <c r="A45" s="172"/>
      <c r="B45" s="185" t="s">
        <v>1333</v>
      </c>
      <c r="C45" s="171"/>
      <c r="D45" s="172" t="s">
        <v>9</v>
      </c>
      <c r="E45" s="164">
        <f t="shared" ref="E45:J47" si="22">(E48+E51)/E54*100</f>
        <v>8.7545955882352935</v>
      </c>
      <c r="F45" s="164">
        <f t="shared" si="22"/>
        <v>10.325837540156035</v>
      </c>
      <c r="G45" s="164">
        <f t="shared" si="22"/>
        <v>8.1518077700426677</v>
      </c>
      <c r="H45" s="164">
        <f t="shared" si="22"/>
        <v>6.1938958707360863</v>
      </c>
      <c r="I45" s="318">
        <f t="shared" si="22"/>
        <v>5.0345288482958344</v>
      </c>
      <c r="J45" s="164">
        <f t="shared" si="22"/>
        <v>5.0579322638146174</v>
      </c>
      <c r="K45" s="173"/>
    </row>
    <row r="46" spans="1:11" x14ac:dyDescent="0.25">
      <c r="A46" s="172"/>
      <c r="B46" s="185" t="s">
        <v>1334</v>
      </c>
      <c r="C46" s="171"/>
      <c r="D46" s="172" t="s">
        <v>9</v>
      </c>
      <c r="E46" s="164">
        <f t="shared" si="22"/>
        <v>9.9829351535836182</v>
      </c>
      <c r="F46" s="164">
        <f t="shared" si="22"/>
        <v>14.352640545144805</v>
      </c>
      <c r="G46" s="164">
        <f t="shared" si="22"/>
        <v>10.992177850967476</v>
      </c>
      <c r="H46" s="164">
        <f t="shared" si="22"/>
        <v>8.88797023563456</v>
      </c>
      <c r="I46" s="318">
        <f t="shared" si="22"/>
        <v>5.5849979616795764</v>
      </c>
      <c r="J46" s="164">
        <f t="shared" si="22"/>
        <v>6.5731462925851707</v>
      </c>
      <c r="K46" s="173"/>
    </row>
    <row r="47" spans="1:11" x14ac:dyDescent="0.25">
      <c r="A47" s="172"/>
      <c r="B47" s="185" t="s">
        <v>1336</v>
      </c>
      <c r="C47" s="171"/>
      <c r="D47" s="172" t="s">
        <v>9</v>
      </c>
      <c r="E47" s="164">
        <f t="shared" si="22"/>
        <v>7.3207171314741037</v>
      </c>
      <c r="F47" s="164">
        <f t="shared" si="22"/>
        <v>5.621890547263682</v>
      </c>
      <c r="G47" s="164">
        <f t="shared" si="22"/>
        <v>4.7430830039525684</v>
      </c>
      <c r="H47" s="164">
        <f t="shared" si="22"/>
        <v>2.9945999018163967</v>
      </c>
      <c r="I47" s="318">
        <f t="shared" si="22"/>
        <v>4.3713163064833003</v>
      </c>
      <c r="J47" s="164">
        <f t="shared" si="22"/>
        <v>3.1610637230306069</v>
      </c>
      <c r="K47" s="173"/>
    </row>
    <row r="48" spans="1:11" ht="120" x14ac:dyDescent="0.25">
      <c r="A48" s="412"/>
      <c r="B48" s="212" t="s">
        <v>155</v>
      </c>
      <c r="C48" s="276"/>
      <c r="D48" s="276"/>
      <c r="E48" s="181">
        <f t="shared" ref="E48:J48" si="23">E49+E50</f>
        <v>381</v>
      </c>
      <c r="F48" s="181">
        <f t="shared" si="23"/>
        <v>450</v>
      </c>
      <c r="G48" s="181">
        <f t="shared" si="23"/>
        <v>363</v>
      </c>
      <c r="H48" s="181">
        <f t="shared" si="23"/>
        <v>276</v>
      </c>
      <c r="I48" s="319">
        <f t="shared" si="23"/>
        <v>226</v>
      </c>
      <c r="J48" s="181">
        <f t="shared" si="23"/>
        <v>227</v>
      </c>
    </row>
    <row r="49" spans="1:11" x14ac:dyDescent="0.25">
      <c r="A49" s="413"/>
      <c r="B49" s="213" t="s">
        <v>1334</v>
      </c>
      <c r="C49" s="277" t="s">
        <v>1642</v>
      </c>
      <c r="D49" s="277" t="s">
        <v>1076</v>
      </c>
      <c r="E49" s="165">
        <v>234</v>
      </c>
      <c r="F49" s="165">
        <v>337</v>
      </c>
      <c r="G49" s="165">
        <v>267</v>
      </c>
      <c r="H49" s="165">
        <v>215</v>
      </c>
      <c r="I49" s="320">
        <v>137</v>
      </c>
      <c r="J49" s="165">
        <v>164</v>
      </c>
    </row>
    <row r="50" spans="1:11" x14ac:dyDescent="0.25">
      <c r="A50" s="414"/>
      <c r="B50" s="214" t="s">
        <v>1336</v>
      </c>
      <c r="C50" s="277" t="s">
        <v>1642</v>
      </c>
      <c r="D50" s="277" t="s">
        <v>1076</v>
      </c>
      <c r="E50" s="181">
        <v>147</v>
      </c>
      <c r="F50" s="181">
        <v>113</v>
      </c>
      <c r="G50" s="181">
        <v>96</v>
      </c>
      <c r="H50" s="181">
        <v>61</v>
      </c>
      <c r="I50" s="319">
        <v>89</v>
      </c>
      <c r="J50" s="181">
        <v>63</v>
      </c>
    </row>
    <row r="51" spans="1:11" ht="120" x14ac:dyDescent="0.25">
      <c r="A51" s="412"/>
      <c r="B51" s="212" t="s">
        <v>156</v>
      </c>
      <c r="C51" s="275"/>
      <c r="D51" s="275"/>
      <c r="E51" s="181">
        <f>E52+E53</f>
        <v>0</v>
      </c>
      <c r="F51" s="181">
        <f>F52+F53</f>
        <v>0</v>
      </c>
      <c r="G51" s="181">
        <f>G52+G53</f>
        <v>0</v>
      </c>
      <c r="H51" s="181">
        <f>H52+H53</f>
        <v>0</v>
      </c>
      <c r="I51" s="319">
        <f>I52+I53</f>
        <v>0</v>
      </c>
      <c r="J51" s="181">
        <v>0</v>
      </c>
    </row>
    <row r="52" spans="1:11" x14ac:dyDescent="0.25">
      <c r="A52" s="413"/>
      <c r="B52" s="213" t="s">
        <v>1334</v>
      </c>
      <c r="C52" s="277" t="s">
        <v>1642</v>
      </c>
      <c r="D52" s="277" t="s">
        <v>1076</v>
      </c>
      <c r="E52" s="181">
        <v>0</v>
      </c>
      <c r="F52" s="181">
        <v>0</v>
      </c>
      <c r="G52" s="181">
        <v>0</v>
      </c>
      <c r="H52" s="181">
        <v>0</v>
      </c>
      <c r="I52" s="319">
        <v>0</v>
      </c>
      <c r="J52" s="181">
        <v>0</v>
      </c>
    </row>
    <row r="53" spans="1:11" x14ac:dyDescent="0.25">
      <c r="A53" s="414"/>
      <c r="B53" s="214" t="s">
        <v>1336</v>
      </c>
      <c r="C53" s="277" t="s">
        <v>1642</v>
      </c>
      <c r="D53" s="277" t="s">
        <v>1076</v>
      </c>
      <c r="E53" s="181">
        <v>0</v>
      </c>
      <c r="F53" s="181">
        <v>0</v>
      </c>
      <c r="G53" s="181">
        <v>0</v>
      </c>
      <c r="H53" s="181">
        <v>0</v>
      </c>
      <c r="I53" s="319">
        <v>0</v>
      </c>
      <c r="J53" s="181">
        <v>0</v>
      </c>
    </row>
    <row r="54" spans="1:11" ht="105.75" customHeight="1" x14ac:dyDescent="0.25">
      <c r="A54" s="412"/>
      <c r="B54" s="212" t="s">
        <v>157</v>
      </c>
      <c r="C54" s="275"/>
      <c r="D54" s="275"/>
      <c r="E54" s="181">
        <f>E55+E56</f>
        <v>4352</v>
      </c>
      <c r="F54" s="181">
        <f>F55+F56</f>
        <v>4358</v>
      </c>
      <c r="G54" s="181">
        <f>G55+G56</f>
        <v>4453</v>
      </c>
      <c r="H54" s="181">
        <f>H55+H56</f>
        <v>4456</v>
      </c>
      <c r="I54" s="319">
        <f>I55+I56</f>
        <v>4489</v>
      </c>
      <c r="J54" s="181">
        <f>J56+J55</f>
        <v>4488</v>
      </c>
    </row>
    <row r="55" spans="1:11" x14ac:dyDescent="0.25">
      <c r="A55" s="413"/>
      <c r="B55" s="213" t="s">
        <v>1334</v>
      </c>
      <c r="C55" s="277" t="s">
        <v>1642</v>
      </c>
      <c r="D55" s="277" t="s">
        <v>1076</v>
      </c>
      <c r="E55" s="181">
        <v>2344</v>
      </c>
      <c r="F55" s="181">
        <v>2348</v>
      </c>
      <c r="G55" s="181">
        <v>2429</v>
      </c>
      <c r="H55" s="181">
        <v>2419</v>
      </c>
      <c r="I55" s="319">
        <v>2453</v>
      </c>
      <c r="J55" s="181">
        <v>2495</v>
      </c>
    </row>
    <row r="56" spans="1:11" x14ac:dyDescent="0.25">
      <c r="A56" s="414"/>
      <c r="B56" s="214" t="s">
        <v>1336</v>
      </c>
      <c r="C56" s="277" t="s">
        <v>1642</v>
      </c>
      <c r="D56" s="277" t="s">
        <v>1076</v>
      </c>
      <c r="E56" s="181">
        <v>2008</v>
      </c>
      <c r="F56" s="181">
        <v>2010</v>
      </c>
      <c r="G56" s="181">
        <v>2024</v>
      </c>
      <c r="H56" s="181">
        <v>2037</v>
      </c>
      <c r="I56" s="319">
        <v>2036</v>
      </c>
      <c r="J56" s="181">
        <v>1993</v>
      </c>
    </row>
    <row r="57" spans="1:11" x14ac:dyDescent="0.25">
      <c r="A57" s="172"/>
      <c r="B57" s="185" t="s">
        <v>1335</v>
      </c>
      <c r="C57" s="171"/>
      <c r="D57" s="172" t="s">
        <v>9</v>
      </c>
      <c r="E57" s="164" t="e">
        <f t="shared" ref="E57:J59" si="24">(E60+E63)/E66*100</f>
        <v>#DIV/0!</v>
      </c>
      <c r="F57" s="164" t="e">
        <f t="shared" si="24"/>
        <v>#DIV/0!</v>
      </c>
      <c r="G57" s="164" t="e">
        <f t="shared" si="24"/>
        <v>#DIV/0!</v>
      </c>
      <c r="H57" s="164" t="e">
        <f t="shared" si="24"/>
        <v>#DIV/0!</v>
      </c>
      <c r="I57" s="318" t="e">
        <f t="shared" si="24"/>
        <v>#DIV/0!</v>
      </c>
      <c r="J57" s="164" t="e">
        <f t="shared" si="24"/>
        <v>#DIV/0!</v>
      </c>
      <c r="K57" s="173"/>
    </row>
    <row r="58" spans="1:11" x14ac:dyDescent="0.25">
      <c r="A58" s="172"/>
      <c r="B58" s="185" t="s">
        <v>1334</v>
      </c>
      <c r="C58" s="171"/>
      <c r="D58" s="172" t="s">
        <v>9</v>
      </c>
      <c r="E58" s="164" t="e">
        <f t="shared" si="24"/>
        <v>#DIV/0!</v>
      </c>
      <c r="F58" s="164" t="e">
        <f t="shared" si="24"/>
        <v>#DIV/0!</v>
      </c>
      <c r="G58" s="164" t="e">
        <f t="shared" si="24"/>
        <v>#DIV/0!</v>
      </c>
      <c r="H58" s="164" t="e">
        <f t="shared" si="24"/>
        <v>#DIV/0!</v>
      </c>
      <c r="I58" s="318" t="e">
        <f t="shared" si="24"/>
        <v>#DIV/0!</v>
      </c>
      <c r="J58" s="164" t="e">
        <f t="shared" si="24"/>
        <v>#DIV/0!</v>
      </c>
      <c r="K58" s="173"/>
    </row>
    <row r="59" spans="1:11" x14ac:dyDescent="0.25">
      <c r="A59" s="172"/>
      <c r="B59" s="185" t="s">
        <v>1336</v>
      </c>
      <c r="C59" s="171"/>
      <c r="D59" s="172" t="s">
        <v>9</v>
      </c>
      <c r="E59" s="164" t="e">
        <f t="shared" si="24"/>
        <v>#DIV/0!</v>
      </c>
      <c r="F59" s="164" t="e">
        <f t="shared" si="24"/>
        <v>#DIV/0!</v>
      </c>
      <c r="G59" s="164" t="e">
        <f t="shared" si="24"/>
        <v>#DIV/0!</v>
      </c>
      <c r="H59" s="164" t="e">
        <f t="shared" si="24"/>
        <v>#DIV/0!</v>
      </c>
      <c r="I59" s="318" t="e">
        <f t="shared" si="24"/>
        <v>#DIV/0!</v>
      </c>
      <c r="J59" s="164" t="e">
        <f t="shared" si="24"/>
        <v>#DIV/0!</v>
      </c>
      <c r="K59" s="173"/>
    </row>
    <row r="60" spans="1:11" ht="106.5" customHeight="1" x14ac:dyDescent="0.25">
      <c r="A60" s="412"/>
      <c r="B60" s="212" t="s">
        <v>155</v>
      </c>
      <c r="C60" s="276"/>
      <c r="D60" s="276"/>
      <c r="E60" s="181">
        <f t="shared" ref="E60:J60" si="25">E61+E62</f>
        <v>0</v>
      </c>
      <c r="F60" s="181">
        <f t="shared" si="25"/>
        <v>0</v>
      </c>
      <c r="G60" s="181">
        <f t="shared" si="25"/>
        <v>0</v>
      </c>
      <c r="H60" s="181">
        <f t="shared" si="25"/>
        <v>0</v>
      </c>
      <c r="I60" s="319">
        <f t="shared" si="25"/>
        <v>0</v>
      </c>
      <c r="J60" s="181">
        <f t="shared" si="25"/>
        <v>0</v>
      </c>
    </row>
    <row r="61" spans="1:11" x14ac:dyDescent="0.25">
      <c r="A61" s="413"/>
      <c r="B61" s="213" t="s">
        <v>1334</v>
      </c>
      <c r="C61" s="277" t="s">
        <v>1642</v>
      </c>
      <c r="D61" s="275" t="s">
        <v>1076</v>
      </c>
      <c r="E61" s="181">
        <v>0</v>
      </c>
      <c r="F61" s="181">
        <v>0</v>
      </c>
      <c r="G61" s="181">
        <v>0</v>
      </c>
      <c r="H61" s="181">
        <v>0</v>
      </c>
      <c r="I61" s="319">
        <v>0</v>
      </c>
      <c r="J61" s="181">
        <v>0</v>
      </c>
    </row>
    <row r="62" spans="1:11" x14ac:dyDescent="0.25">
      <c r="A62" s="414"/>
      <c r="B62" s="214" t="s">
        <v>1336</v>
      </c>
      <c r="C62" s="277" t="s">
        <v>1642</v>
      </c>
      <c r="D62" s="275" t="s">
        <v>1076</v>
      </c>
      <c r="E62" s="181">
        <v>0</v>
      </c>
      <c r="F62" s="181">
        <v>0</v>
      </c>
      <c r="G62" s="181">
        <v>0</v>
      </c>
      <c r="H62" s="181">
        <v>0</v>
      </c>
      <c r="I62" s="319">
        <v>0</v>
      </c>
      <c r="J62" s="181">
        <v>0</v>
      </c>
    </row>
    <row r="63" spans="1:11" ht="107.25" customHeight="1" x14ac:dyDescent="0.25">
      <c r="A63" s="412"/>
      <c r="B63" s="212" t="s">
        <v>156</v>
      </c>
      <c r="C63" s="275"/>
      <c r="D63" s="275"/>
      <c r="E63" s="181">
        <f>E64+E65</f>
        <v>0</v>
      </c>
      <c r="F63" s="181">
        <f>F64+F65</f>
        <v>0</v>
      </c>
      <c r="G63" s="181">
        <f>G64+G65</f>
        <v>0</v>
      </c>
      <c r="H63" s="181">
        <f>H64+H65</f>
        <v>0</v>
      </c>
      <c r="I63" s="319">
        <f>I64+I65</f>
        <v>0</v>
      </c>
      <c r="J63" s="181">
        <v>0</v>
      </c>
    </row>
    <row r="64" spans="1:11" x14ac:dyDescent="0.25">
      <c r="A64" s="413"/>
      <c r="B64" s="213" t="s">
        <v>1334</v>
      </c>
      <c r="C64" s="277" t="s">
        <v>1642</v>
      </c>
      <c r="D64" s="275" t="s">
        <v>1076</v>
      </c>
      <c r="E64" s="181">
        <v>0</v>
      </c>
      <c r="F64" s="181">
        <v>0</v>
      </c>
      <c r="G64" s="181">
        <v>0</v>
      </c>
      <c r="H64" s="181">
        <v>0</v>
      </c>
      <c r="I64" s="319">
        <v>0</v>
      </c>
      <c r="J64" s="181">
        <v>0</v>
      </c>
    </row>
    <row r="65" spans="1:11" x14ac:dyDescent="0.25">
      <c r="A65" s="414"/>
      <c r="B65" s="214" t="s">
        <v>1336</v>
      </c>
      <c r="C65" s="277" t="s">
        <v>1642</v>
      </c>
      <c r="D65" s="275" t="s">
        <v>1076</v>
      </c>
      <c r="E65" s="181">
        <v>0</v>
      </c>
      <c r="F65" s="181">
        <v>0</v>
      </c>
      <c r="G65" s="181">
        <v>0</v>
      </c>
      <c r="H65" s="181">
        <v>0</v>
      </c>
      <c r="I65" s="319">
        <v>0</v>
      </c>
      <c r="J65" s="181">
        <v>0</v>
      </c>
    </row>
    <row r="66" spans="1:11" ht="105" x14ac:dyDescent="0.25">
      <c r="A66" s="412"/>
      <c r="B66" s="212" t="s">
        <v>157</v>
      </c>
      <c r="C66" s="276"/>
      <c r="D66" s="276"/>
      <c r="E66" s="181">
        <f>E67+E68</f>
        <v>0</v>
      </c>
      <c r="F66" s="181">
        <f>F67+F68</f>
        <v>0</v>
      </c>
      <c r="G66" s="181">
        <f>G67+G68</f>
        <v>0</v>
      </c>
      <c r="H66" s="181">
        <f>H67+H68</f>
        <v>0</v>
      </c>
      <c r="I66" s="319">
        <f>I67+I68</f>
        <v>0</v>
      </c>
      <c r="J66" s="181">
        <v>0</v>
      </c>
    </row>
    <row r="67" spans="1:11" x14ac:dyDescent="0.25">
      <c r="A67" s="413"/>
      <c r="B67" s="213" t="s">
        <v>1334</v>
      </c>
      <c r="C67" s="277" t="s">
        <v>1642</v>
      </c>
      <c r="D67" s="275" t="s">
        <v>1076</v>
      </c>
      <c r="E67" s="181">
        <v>0</v>
      </c>
      <c r="F67" s="181">
        <v>0</v>
      </c>
      <c r="G67" s="181">
        <v>0</v>
      </c>
      <c r="H67" s="181">
        <v>0</v>
      </c>
      <c r="I67" s="319">
        <v>0</v>
      </c>
      <c r="J67" s="181">
        <v>0</v>
      </c>
    </row>
    <row r="68" spans="1:11" x14ac:dyDescent="0.25">
      <c r="A68" s="414"/>
      <c r="B68" s="214" t="s">
        <v>1336</v>
      </c>
      <c r="C68" s="277" t="s">
        <v>1642</v>
      </c>
      <c r="D68" s="275" t="s">
        <v>1076</v>
      </c>
      <c r="E68" s="181">
        <v>0</v>
      </c>
      <c r="F68" s="181">
        <v>0</v>
      </c>
      <c r="G68" s="181">
        <v>0</v>
      </c>
      <c r="H68" s="181">
        <v>0</v>
      </c>
      <c r="I68" s="319">
        <v>0</v>
      </c>
      <c r="J68" s="181">
        <v>0</v>
      </c>
    </row>
    <row r="69" spans="1:11" ht="75" x14ac:dyDescent="0.25">
      <c r="A69" s="172" t="s">
        <v>161</v>
      </c>
      <c r="B69" s="157" t="s">
        <v>160</v>
      </c>
      <c r="C69" s="172"/>
      <c r="D69" s="172"/>
      <c r="E69" s="187"/>
      <c r="F69" s="187"/>
      <c r="G69" s="187"/>
      <c r="H69" s="187"/>
      <c r="I69" s="324"/>
      <c r="J69" s="187"/>
      <c r="K69" s="173" t="s">
        <v>149</v>
      </c>
    </row>
    <row r="70" spans="1:11" x14ac:dyDescent="0.25">
      <c r="A70" s="172"/>
      <c r="B70" s="185" t="s">
        <v>1333</v>
      </c>
      <c r="C70" s="172"/>
      <c r="D70" s="172" t="s">
        <v>9</v>
      </c>
      <c r="E70" s="194">
        <f t="shared" ref="E70:J70" si="26">E72/E73*100</f>
        <v>0</v>
      </c>
      <c r="F70" s="194">
        <f t="shared" si="26"/>
        <v>0</v>
      </c>
      <c r="G70" s="194">
        <f t="shared" si="26"/>
        <v>0</v>
      </c>
      <c r="H70" s="194">
        <f t="shared" si="26"/>
        <v>0</v>
      </c>
      <c r="I70" s="325">
        <f t="shared" si="26"/>
        <v>0</v>
      </c>
      <c r="J70" s="194">
        <f t="shared" si="26"/>
        <v>0</v>
      </c>
      <c r="K70" s="173"/>
    </row>
    <row r="71" spans="1:11" x14ac:dyDescent="0.25">
      <c r="A71" s="172"/>
      <c r="B71" s="185" t="s">
        <v>1335</v>
      </c>
      <c r="C71" s="172"/>
      <c r="D71" s="172" t="s">
        <v>9</v>
      </c>
      <c r="E71" s="194" t="e">
        <f t="shared" ref="E71:J71" si="27">E74/E75*100</f>
        <v>#DIV/0!</v>
      </c>
      <c r="F71" s="194" t="e">
        <f t="shared" si="27"/>
        <v>#DIV/0!</v>
      </c>
      <c r="G71" s="194" t="e">
        <f t="shared" si="27"/>
        <v>#DIV/0!</v>
      </c>
      <c r="H71" s="194" t="e">
        <f t="shared" si="27"/>
        <v>#DIV/0!</v>
      </c>
      <c r="I71" s="325" t="e">
        <f t="shared" si="27"/>
        <v>#DIV/0!</v>
      </c>
      <c r="J71" s="194" t="e">
        <f t="shared" si="27"/>
        <v>#DIV/0!</v>
      </c>
      <c r="K71" s="173"/>
    </row>
    <row r="72" spans="1:11" ht="110.25" customHeight="1" x14ac:dyDescent="0.25">
      <c r="A72" s="171"/>
      <c r="B72" s="157" t="s">
        <v>162</v>
      </c>
      <c r="C72" s="189" t="s">
        <v>1644</v>
      </c>
      <c r="D72" s="172" t="s">
        <v>1076</v>
      </c>
      <c r="E72" s="181">
        <v>0</v>
      </c>
      <c r="F72" s="181">
        <v>0</v>
      </c>
      <c r="G72" s="181">
        <v>0</v>
      </c>
      <c r="H72" s="181">
        <v>0</v>
      </c>
      <c r="I72" s="319">
        <v>0</v>
      </c>
      <c r="J72" s="181">
        <v>0</v>
      </c>
    </row>
    <row r="73" spans="1:11" ht="90" x14ac:dyDescent="0.25">
      <c r="A73" s="171"/>
      <c r="B73" s="157" t="s">
        <v>163</v>
      </c>
      <c r="C73" s="189" t="s">
        <v>1632</v>
      </c>
      <c r="D73" s="172" t="s">
        <v>1076</v>
      </c>
      <c r="E73" s="181">
        <v>4352</v>
      </c>
      <c r="F73" s="181">
        <v>4358</v>
      </c>
      <c r="G73" s="181">
        <v>4453</v>
      </c>
      <c r="H73" s="181">
        <v>4456</v>
      </c>
      <c r="I73" s="319">
        <v>4489</v>
      </c>
      <c r="J73" s="181">
        <v>4488</v>
      </c>
    </row>
    <row r="74" spans="1:11" ht="104.25" customHeight="1" x14ac:dyDescent="0.25">
      <c r="A74" s="171"/>
      <c r="B74" s="157" t="s">
        <v>162</v>
      </c>
      <c r="C74" s="189" t="s">
        <v>1644</v>
      </c>
      <c r="D74" s="172" t="s">
        <v>1076</v>
      </c>
      <c r="E74" s="181">
        <v>0</v>
      </c>
      <c r="F74" s="181">
        <v>0</v>
      </c>
      <c r="G74" s="181">
        <v>0</v>
      </c>
      <c r="H74" s="181">
        <v>0</v>
      </c>
      <c r="I74" s="319">
        <v>0</v>
      </c>
      <c r="J74" s="181">
        <v>0</v>
      </c>
    </row>
    <row r="75" spans="1:11" ht="90" x14ac:dyDescent="0.25">
      <c r="A75" s="171"/>
      <c r="B75" s="157" t="s">
        <v>163</v>
      </c>
      <c r="C75" s="189" t="s">
        <v>1632</v>
      </c>
      <c r="D75" s="172" t="s">
        <v>1076</v>
      </c>
      <c r="E75" s="181">
        <v>0</v>
      </c>
      <c r="F75" s="181">
        <v>0</v>
      </c>
      <c r="G75" s="181">
        <v>0</v>
      </c>
      <c r="H75" s="181">
        <v>0</v>
      </c>
      <c r="I75" s="319">
        <v>0</v>
      </c>
      <c r="J75" s="181">
        <v>0</v>
      </c>
    </row>
    <row r="76" spans="1:11" s="179" customFormat="1" ht="92.25" customHeight="1" x14ac:dyDescent="0.25">
      <c r="A76" s="193"/>
      <c r="B76" s="168" t="s">
        <v>1594</v>
      </c>
      <c r="C76" s="189" t="s">
        <v>1590</v>
      </c>
      <c r="D76" s="189" t="s">
        <v>1076</v>
      </c>
      <c r="E76" s="278">
        <v>107</v>
      </c>
      <c r="F76" s="278">
        <v>103</v>
      </c>
      <c r="G76" s="278">
        <v>114</v>
      </c>
      <c r="H76" s="278">
        <v>168</v>
      </c>
      <c r="I76" s="326">
        <v>105</v>
      </c>
      <c r="J76" s="278">
        <v>84</v>
      </c>
    </row>
    <row r="77" spans="1:11" s="179" customFormat="1" ht="77.25" customHeight="1" x14ac:dyDescent="0.25">
      <c r="A77" s="193"/>
      <c r="B77" s="168" t="s">
        <v>1593</v>
      </c>
      <c r="C77" s="189" t="s">
        <v>1590</v>
      </c>
      <c r="D77" s="189" t="s">
        <v>1076</v>
      </c>
      <c r="E77" s="278">
        <v>533</v>
      </c>
      <c r="F77" s="278">
        <v>496</v>
      </c>
      <c r="G77" s="278">
        <v>489</v>
      </c>
      <c r="H77" s="278">
        <v>448</v>
      </c>
      <c r="I77" s="326">
        <v>443</v>
      </c>
      <c r="J77" s="278">
        <v>442</v>
      </c>
    </row>
    <row r="78" spans="1:11" s="179" customFormat="1" ht="63" customHeight="1" x14ac:dyDescent="0.25">
      <c r="A78" s="189" t="s">
        <v>1592</v>
      </c>
      <c r="B78" s="168" t="s">
        <v>1591</v>
      </c>
      <c r="C78" s="189" t="s">
        <v>1590</v>
      </c>
      <c r="D78" s="189"/>
      <c r="E78" s="279">
        <f t="shared" ref="E78:H78" si="28">E76/E77*100</f>
        <v>20.075046904315197</v>
      </c>
      <c r="F78" s="279">
        <f t="shared" si="28"/>
        <v>20.766129032258064</v>
      </c>
      <c r="G78" s="280">
        <f t="shared" si="28"/>
        <v>23.312883435582819</v>
      </c>
      <c r="H78" s="279">
        <f t="shared" si="28"/>
        <v>37.5</v>
      </c>
      <c r="I78" s="327">
        <f>I76/I77*100</f>
        <v>23.702031602708804</v>
      </c>
      <c r="J78" s="279">
        <f>J76/J77*100</f>
        <v>19.004524886877828</v>
      </c>
    </row>
    <row r="79" spans="1:11" ht="75" customHeight="1" x14ac:dyDescent="0.25">
      <c r="A79" s="182" t="s">
        <v>168</v>
      </c>
      <c r="B79" s="183" t="s">
        <v>164</v>
      </c>
      <c r="C79" s="171"/>
      <c r="D79" s="171"/>
      <c r="E79" s="171"/>
      <c r="F79" s="171"/>
      <c r="G79" s="171"/>
      <c r="H79" s="171"/>
      <c r="I79" s="317"/>
      <c r="J79" s="171"/>
    </row>
    <row r="80" spans="1:11" ht="34.5" customHeight="1" x14ac:dyDescent="0.25">
      <c r="A80" s="172" t="s">
        <v>169</v>
      </c>
      <c r="B80" s="157" t="s">
        <v>165</v>
      </c>
      <c r="C80" s="171"/>
      <c r="D80" s="172"/>
      <c r="E80" s="164"/>
      <c r="F80" s="164"/>
      <c r="G80" s="164"/>
      <c r="H80" s="164"/>
      <c r="I80" s="318"/>
      <c r="J80" s="164"/>
      <c r="K80" s="173" t="s">
        <v>170</v>
      </c>
    </row>
    <row r="81" spans="1:11" x14ac:dyDescent="0.25">
      <c r="A81" s="172"/>
      <c r="B81" s="185" t="s">
        <v>1333</v>
      </c>
      <c r="C81" s="171"/>
      <c r="D81" s="172" t="s">
        <v>1076</v>
      </c>
      <c r="E81" s="164">
        <f t="shared" ref="E81:J81" si="29">E84/(E87+E88)</f>
        <v>7.7437722419928825</v>
      </c>
      <c r="F81" s="164">
        <f t="shared" si="29"/>
        <v>7.9525547445255471</v>
      </c>
      <c r="G81" s="164">
        <f t="shared" si="29"/>
        <v>7.8260105448154658</v>
      </c>
      <c r="H81" s="164">
        <f t="shared" si="29"/>
        <v>8.0724637681159415</v>
      </c>
      <c r="I81" s="318">
        <f t="shared" si="29"/>
        <v>8.0304114490160998</v>
      </c>
      <c r="J81" s="164">
        <f t="shared" si="29"/>
        <v>8.16</v>
      </c>
      <c r="K81" s="173"/>
    </row>
    <row r="82" spans="1:11" x14ac:dyDescent="0.25">
      <c r="A82" s="172"/>
      <c r="B82" s="185" t="s">
        <v>1334</v>
      </c>
      <c r="C82" s="171"/>
      <c r="D82" s="172" t="s">
        <v>1076</v>
      </c>
      <c r="E82" s="164">
        <f t="shared" ref="E82:G83" si="30">E85/E87</f>
        <v>11.004694835680752</v>
      </c>
      <c r="F82" s="164">
        <f t="shared" si="30"/>
        <v>11.623762376237623</v>
      </c>
      <c r="G82" s="164">
        <f t="shared" si="30"/>
        <v>11.297674418604652</v>
      </c>
      <c r="H82" s="164">
        <f t="shared" ref="H82:J82" si="31">H85/H87</f>
        <v>11.519047619047619</v>
      </c>
      <c r="I82" s="318">
        <f t="shared" si="31"/>
        <v>11.570754716981131</v>
      </c>
      <c r="J82" s="164">
        <f t="shared" si="31"/>
        <v>11.188340807174887</v>
      </c>
      <c r="K82" s="173"/>
    </row>
    <row r="83" spans="1:11" x14ac:dyDescent="0.25">
      <c r="A83" s="172"/>
      <c r="B83" s="185" t="s">
        <v>1336</v>
      </c>
      <c r="C83" s="171"/>
      <c r="D83" s="172" t="s">
        <v>1076</v>
      </c>
      <c r="E83" s="164">
        <f t="shared" si="30"/>
        <v>5.7535816618911175</v>
      </c>
      <c r="F83" s="164">
        <f t="shared" si="30"/>
        <v>5.8092485549132951</v>
      </c>
      <c r="G83" s="164">
        <f t="shared" si="30"/>
        <v>5.7175141242937855</v>
      </c>
      <c r="H83" s="164">
        <f t="shared" ref="H83:J83" si="32">H86/H88</f>
        <v>5.9561403508771926</v>
      </c>
      <c r="I83" s="318">
        <f t="shared" si="32"/>
        <v>5.8674351585014408</v>
      </c>
      <c r="J83" s="164">
        <f t="shared" si="32"/>
        <v>6.09480122324159</v>
      </c>
      <c r="K83" s="173"/>
    </row>
    <row r="84" spans="1:11" ht="77.25" customHeight="1" x14ac:dyDescent="0.25">
      <c r="A84" s="412"/>
      <c r="B84" s="212" t="s">
        <v>166</v>
      </c>
      <c r="C84" s="275"/>
      <c r="D84" s="275"/>
      <c r="E84" s="181">
        <f t="shared" ref="E84:J84" si="33">E85+E86</f>
        <v>4352</v>
      </c>
      <c r="F84" s="181">
        <f t="shared" si="33"/>
        <v>4358</v>
      </c>
      <c r="G84" s="181">
        <f t="shared" si="33"/>
        <v>4453</v>
      </c>
      <c r="H84" s="181">
        <f t="shared" si="33"/>
        <v>4456</v>
      </c>
      <c r="I84" s="319">
        <f t="shared" si="33"/>
        <v>4489</v>
      </c>
      <c r="J84" s="181">
        <f t="shared" si="33"/>
        <v>4488</v>
      </c>
    </row>
    <row r="85" spans="1:11" x14ac:dyDescent="0.25">
      <c r="A85" s="413"/>
      <c r="B85" s="213" t="s">
        <v>1334</v>
      </c>
      <c r="C85" s="275" t="s">
        <v>1642</v>
      </c>
      <c r="D85" s="415" t="s">
        <v>1076</v>
      </c>
      <c r="E85" s="181">
        <v>2344</v>
      </c>
      <c r="F85" s="181">
        <v>2348</v>
      </c>
      <c r="G85" s="181">
        <v>2429</v>
      </c>
      <c r="H85" s="181">
        <v>2419</v>
      </c>
      <c r="I85" s="319">
        <v>2453</v>
      </c>
      <c r="J85" s="181">
        <v>2495</v>
      </c>
    </row>
    <row r="86" spans="1:11" x14ac:dyDescent="0.25">
      <c r="A86" s="414"/>
      <c r="B86" s="214" t="s">
        <v>1336</v>
      </c>
      <c r="C86" s="275" t="s">
        <v>1642</v>
      </c>
      <c r="D86" s="416"/>
      <c r="E86" s="181">
        <v>2008</v>
      </c>
      <c r="F86" s="181">
        <v>2010</v>
      </c>
      <c r="G86" s="181">
        <v>2024</v>
      </c>
      <c r="H86" s="181">
        <v>2037</v>
      </c>
      <c r="I86" s="319">
        <v>2036</v>
      </c>
      <c r="J86" s="181">
        <v>1993</v>
      </c>
    </row>
    <row r="87" spans="1:11" x14ac:dyDescent="0.25">
      <c r="A87" s="422"/>
      <c r="B87" s="422" t="s">
        <v>167</v>
      </c>
      <c r="C87" s="172" t="s">
        <v>1645</v>
      </c>
      <c r="D87" s="415" t="s">
        <v>1076</v>
      </c>
      <c r="E87" s="165">
        <v>213</v>
      </c>
      <c r="F87" s="165">
        <v>202</v>
      </c>
      <c r="G87" s="162">
        <v>215</v>
      </c>
      <c r="H87" s="162">
        <v>210</v>
      </c>
      <c r="I87" s="322">
        <v>212</v>
      </c>
      <c r="J87" s="162">
        <v>223</v>
      </c>
    </row>
    <row r="88" spans="1:11" x14ac:dyDescent="0.25">
      <c r="A88" s="424"/>
      <c r="B88" s="424"/>
      <c r="C88" s="172" t="s">
        <v>1646</v>
      </c>
      <c r="D88" s="416"/>
      <c r="E88" s="165">
        <v>349</v>
      </c>
      <c r="F88" s="165">
        <v>346</v>
      </c>
      <c r="G88" s="181">
        <v>354</v>
      </c>
      <c r="H88" s="181">
        <v>342</v>
      </c>
      <c r="I88" s="319">
        <v>347</v>
      </c>
      <c r="J88" s="181">
        <v>327</v>
      </c>
    </row>
    <row r="89" spans="1:11" x14ac:dyDescent="0.25">
      <c r="A89" s="172"/>
      <c r="B89" s="185" t="s">
        <v>1335</v>
      </c>
      <c r="C89" s="171"/>
      <c r="D89" s="172" t="s">
        <v>1076</v>
      </c>
      <c r="E89" s="164" t="e">
        <f t="shared" ref="E89:J89" si="34">E92/(E95+E96)</f>
        <v>#DIV/0!</v>
      </c>
      <c r="F89" s="164" t="e">
        <f t="shared" si="34"/>
        <v>#DIV/0!</v>
      </c>
      <c r="G89" s="164" t="e">
        <f t="shared" si="34"/>
        <v>#DIV/0!</v>
      </c>
      <c r="H89" s="164" t="e">
        <f t="shared" si="34"/>
        <v>#DIV/0!</v>
      </c>
      <c r="I89" s="318" t="e">
        <f t="shared" si="34"/>
        <v>#DIV/0!</v>
      </c>
      <c r="J89" s="164" t="e">
        <f t="shared" si="34"/>
        <v>#DIV/0!</v>
      </c>
    </row>
    <row r="90" spans="1:11" x14ac:dyDescent="0.25">
      <c r="A90" s="172"/>
      <c r="B90" s="185" t="s">
        <v>1334</v>
      </c>
      <c r="C90" s="171"/>
      <c r="D90" s="172" t="s">
        <v>1076</v>
      </c>
      <c r="E90" s="164" t="e">
        <f t="shared" ref="E90:G91" si="35">E93/E95</f>
        <v>#DIV/0!</v>
      </c>
      <c r="F90" s="164" t="e">
        <f t="shared" si="35"/>
        <v>#DIV/0!</v>
      </c>
      <c r="G90" s="164" t="e">
        <f t="shared" si="35"/>
        <v>#DIV/0!</v>
      </c>
      <c r="H90" s="164" t="e">
        <f t="shared" ref="H90:I90" si="36">H93/H95</f>
        <v>#DIV/0!</v>
      </c>
      <c r="I90" s="318" t="e">
        <f t="shared" si="36"/>
        <v>#DIV/0!</v>
      </c>
      <c r="J90" s="164" t="e">
        <f t="shared" ref="J90" si="37">J93/J95</f>
        <v>#DIV/0!</v>
      </c>
    </row>
    <row r="91" spans="1:11" x14ac:dyDescent="0.25">
      <c r="A91" s="172"/>
      <c r="B91" s="185" t="s">
        <v>1336</v>
      </c>
      <c r="C91" s="171"/>
      <c r="D91" s="172" t="s">
        <v>1076</v>
      </c>
      <c r="E91" s="164" t="e">
        <f t="shared" si="35"/>
        <v>#DIV/0!</v>
      </c>
      <c r="F91" s="164" t="e">
        <f t="shared" si="35"/>
        <v>#DIV/0!</v>
      </c>
      <c r="G91" s="164" t="e">
        <f t="shared" si="35"/>
        <v>#DIV/0!</v>
      </c>
      <c r="H91" s="164" t="e">
        <f t="shared" ref="H91:I91" si="38">H94/H96</f>
        <v>#DIV/0!</v>
      </c>
      <c r="I91" s="318" t="e">
        <f t="shared" si="38"/>
        <v>#DIV/0!</v>
      </c>
      <c r="J91" s="164" t="e">
        <f t="shared" ref="J91" si="39">J94/J96</f>
        <v>#DIV/0!</v>
      </c>
    </row>
    <row r="92" spans="1:11" ht="75.75" customHeight="1" x14ac:dyDescent="0.25">
      <c r="A92" s="412"/>
      <c r="B92" s="212" t="s">
        <v>166</v>
      </c>
      <c r="C92" s="275"/>
      <c r="D92" s="275"/>
      <c r="E92" s="181">
        <v>0</v>
      </c>
      <c r="F92" s="181">
        <v>0</v>
      </c>
      <c r="G92" s="181">
        <v>0</v>
      </c>
      <c r="H92" s="181">
        <v>0</v>
      </c>
      <c r="I92" s="319">
        <v>0</v>
      </c>
      <c r="J92" s="181">
        <v>0</v>
      </c>
    </row>
    <row r="93" spans="1:11" x14ac:dyDescent="0.25">
      <c r="A93" s="413"/>
      <c r="B93" s="213" t="s">
        <v>1334</v>
      </c>
      <c r="C93" s="275" t="s">
        <v>1632</v>
      </c>
      <c r="D93" s="415" t="s">
        <v>1076</v>
      </c>
      <c r="E93" s="181">
        <v>0</v>
      </c>
      <c r="F93" s="181">
        <v>0</v>
      </c>
      <c r="G93" s="181">
        <v>0</v>
      </c>
      <c r="H93" s="181">
        <v>0</v>
      </c>
      <c r="I93" s="319">
        <v>0</v>
      </c>
      <c r="J93" s="181">
        <v>0</v>
      </c>
    </row>
    <row r="94" spans="1:11" x14ac:dyDescent="0.25">
      <c r="A94" s="414"/>
      <c r="B94" s="214" t="s">
        <v>1336</v>
      </c>
      <c r="C94" s="275" t="s">
        <v>1632</v>
      </c>
      <c r="D94" s="416"/>
      <c r="E94" s="181">
        <v>0</v>
      </c>
      <c r="F94" s="181">
        <v>0</v>
      </c>
      <c r="G94" s="181">
        <v>0</v>
      </c>
      <c r="H94" s="181">
        <v>0</v>
      </c>
      <c r="I94" s="319">
        <v>0</v>
      </c>
      <c r="J94" s="181">
        <v>0</v>
      </c>
    </row>
    <row r="95" spans="1:11" x14ac:dyDescent="0.25">
      <c r="A95" s="422"/>
      <c r="B95" s="422" t="s">
        <v>167</v>
      </c>
      <c r="C95" s="172" t="s">
        <v>1645</v>
      </c>
      <c r="D95" s="415" t="s">
        <v>1076</v>
      </c>
      <c r="E95" s="181">
        <v>0</v>
      </c>
      <c r="F95" s="181">
        <v>0</v>
      </c>
      <c r="G95" s="181">
        <v>0</v>
      </c>
      <c r="H95" s="181">
        <v>0</v>
      </c>
      <c r="I95" s="319">
        <v>0</v>
      </c>
      <c r="J95" s="181">
        <v>0</v>
      </c>
    </row>
    <row r="96" spans="1:11" x14ac:dyDescent="0.25">
      <c r="A96" s="424"/>
      <c r="B96" s="424"/>
      <c r="C96" s="172" t="s">
        <v>1645</v>
      </c>
      <c r="D96" s="416"/>
      <c r="E96" s="181">
        <v>0</v>
      </c>
      <c r="F96" s="181">
        <v>0</v>
      </c>
      <c r="G96" s="181">
        <v>0</v>
      </c>
      <c r="H96" s="181">
        <v>0</v>
      </c>
      <c r="I96" s="319">
        <v>0</v>
      </c>
      <c r="J96" s="181">
        <v>0</v>
      </c>
    </row>
    <row r="97" spans="1:11" ht="46.5" customHeight="1" x14ac:dyDescent="0.25">
      <c r="A97" s="172" t="s">
        <v>172</v>
      </c>
      <c r="B97" s="157" t="s">
        <v>171</v>
      </c>
      <c r="C97" s="171"/>
      <c r="D97" s="172"/>
      <c r="E97" s="164"/>
      <c r="F97" s="164"/>
      <c r="G97" s="164"/>
      <c r="H97" s="164"/>
      <c r="I97" s="318"/>
      <c r="J97" s="164"/>
      <c r="K97" s="173" t="s">
        <v>149</v>
      </c>
    </row>
    <row r="98" spans="1:11" x14ac:dyDescent="0.25">
      <c r="A98" s="172"/>
      <c r="B98" s="185" t="s">
        <v>1333</v>
      </c>
      <c r="C98" s="171"/>
      <c r="D98" s="172" t="s">
        <v>9</v>
      </c>
      <c r="E98" s="164">
        <f t="shared" ref="E98:J98" si="40">(E101+E102)/(E103+E104)*100</f>
        <v>19.117647058823529</v>
      </c>
      <c r="F98" s="164">
        <f t="shared" si="40"/>
        <v>22.105263157894736</v>
      </c>
      <c r="G98" s="164">
        <f t="shared" si="40"/>
        <v>19.096509240246405</v>
      </c>
      <c r="H98" s="164">
        <f t="shared" si="40"/>
        <v>20.689655172413794</v>
      </c>
      <c r="I98" s="318">
        <f t="shared" si="40"/>
        <v>21.475054229934923</v>
      </c>
      <c r="J98" s="164">
        <f t="shared" si="40"/>
        <v>19.956140350877195</v>
      </c>
      <c r="K98" s="173"/>
    </row>
    <row r="99" spans="1:11" x14ac:dyDescent="0.25">
      <c r="A99" s="172"/>
      <c r="B99" s="185" t="s">
        <v>1334</v>
      </c>
      <c r="C99" s="171"/>
      <c r="D99" s="172" t="s">
        <v>9</v>
      </c>
      <c r="E99" s="164">
        <f t="shared" ref="E99:G100" si="41">E101/E103*100</f>
        <v>15.343915343915343</v>
      </c>
      <c r="F99" s="164">
        <f t="shared" si="41"/>
        <v>21.195652173913043</v>
      </c>
      <c r="G99" s="164">
        <f t="shared" si="41"/>
        <v>18.134715025906736</v>
      </c>
      <c r="H99" s="164">
        <f t="shared" ref="H99:J99" si="42">H101/H103*100</f>
        <v>20.967741935483872</v>
      </c>
      <c r="I99" s="318">
        <f t="shared" si="42"/>
        <v>24.324324324324326</v>
      </c>
      <c r="J99" s="164">
        <f t="shared" si="42"/>
        <v>19.170984455958546</v>
      </c>
      <c r="K99" s="173"/>
    </row>
    <row r="100" spans="1:11" x14ac:dyDescent="0.25">
      <c r="A100" s="172"/>
      <c r="B100" s="185" t="s">
        <v>1336</v>
      </c>
      <c r="C100" s="171"/>
      <c r="D100" s="172" t="s">
        <v>9</v>
      </c>
      <c r="E100" s="164">
        <f t="shared" si="41"/>
        <v>21.602787456445995</v>
      </c>
      <c r="F100" s="164">
        <f t="shared" si="41"/>
        <v>22.680412371134022</v>
      </c>
      <c r="G100" s="164">
        <f t="shared" si="41"/>
        <v>19.727891156462583</v>
      </c>
      <c r="H100" s="164">
        <f t="shared" ref="H100:J100" si="43">H102/H104*100</f>
        <v>20.503597122302157</v>
      </c>
      <c r="I100" s="318">
        <f t="shared" si="43"/>
        <v>19.565217391304348</v>
      </c>
      <c r="J100" s="164">
        <f t="shared" si="43"/>
        <v>20.532319391634982</v>
      </c>
      <c r="K100" s="173"/>
    </row>
    <row r="101" spans="1:11" x14ac:dyDescent="0.25">
      <c r="A101" s="422"/>
      <c r="B101" s="422" t="s">
        <v>173</v>
      </c>
      <c r="C101" s="172" t="s">
        <v>1646</v>
      </c>
      <c r="D101" s="415" t="s">
        <v>1076</v>
      </c>
      <c r="E101" s="165">
        <v>29</v>
      </c>
      <c r="F101" s="165">
        <v>39</v>
      </c>
      <c r="G101" s="165">
        <v>35</v>
      </c>
      <c r="H101" s="165">
        <v>39</v>
      </c>
      <c r="I101" s="320">
        <f>1+3+4+2+4+5+9+1+4+8+2+2</f>
        <v>45</v>
      </c>
      <c r="J101" s="165">
        <v>37</v>
      </c>
      <c r="K101" s="186"/>
    </row>
    <row r="102" spans="1:11" ht="61.5" customHeight="1" x14ac:dyDescent="0.25">
      <c r="A102" s="424"/>
      <c r="B102" s="424"/>
      <c r="C102" s="172" t="s">
        <v>1645</v>
      </c>
      <c r="D102" s="416"/>
      <c r="E102" s="165">
        <v>62</v>
      </c>
      <c r="F102" s="165">
        <v>66</v>
      </c>
      <c r="G102" s="181">
        <v>58</v>
      </c>
      <c r="H102" s="181">
        <v>57</v>
      </c>
      <c r="I102" s="319">
        <v>54</v>
      </c>
      <c r="J102" s="181">
        <v>54</v>
      </c>
      <c r="K102" s="186"/>
    </row>
    <row r="103" spans="1:11" x14ac:dyDescent="0.25">
      <c r="A103" s="422"/>
      <c r="B103" s="422" t="s">
        <v>174</v>
      </c>
      <c r="C103" s="172" t="s">
        <v>1646</v>
      </c>
      <c r="D103" s="415" t="s">
        <v>1076</v>
      </c>
      <c r="E103" s="165">
        <v>189</v>
      </c>
      <c r="F103" s="165">
        <v>184</v>
      </c>
      <c r="G103" s="181">
        <v>193</v>
      </c>
      <c r="H103" s="181">
        <v>186</v>
      </c>
      <c r="I103" s="319">
        <v>185</v>
      </c>
      <c r="J103" s="181">
        <v>193</v>
      </c>
    </row>
    <row r="104" spans="1:11" ht="32.25" customHeight="1" x14ac:dyDescent="0.25">
      <c r="A104" s="424"/>
      <c r="B104" s="424"/>
      <c r="C104" s="172" t="s">
        <v>175</v>
      </c>
      <c r="D104" s="416"/>
      <c r="E104" s="165">
        <v>287</v>
      </c>
      <c r="F104" s="165">
        <v>291</v>
      </c>
      <c r="G104" s="181">
        <v>294</v>
      </c>
      <c r="H104" s="181">
        <v>278</v>
      </c>
      <c r="I104" s="319">
        <v>276</v>
      </c>
      <c r="J104" s="181">
        <v>263</v>
      </c>
    </row>
    <row r="105" spans="1:11" x14ac:dyDescent="0.25">
      <c r="A105" s="172"/>
      <c r="B105" s="185" t="s">
        <v>1333</v>
      </c>
      <c r="C105" s="171"/>
      <c r="D105" s="172" t="s">
        <v>9</v>
      </c>
      <c r="E105" s="164" t="e">
        <f t="shared" ref="E105:J105" si="44">(E108+E109)/(E110+E111)*100</f>
        <v>#DIV/0!</v>
      </c>
      <c r="F105" s="164" t="e">
        <f t="shared" si="44"/>
        <v>#DIV/0!</v>
      </c>
      <c r="G105" s="164" t="e">
        <f t="shared" si="44"/>
        <v>#DIV/0!</v>
      </c>
      <c r="H105" s="164" t="e">
        <f t="shared" si="44"/>
        <v>#DIV/0!</v>
      </c>
      <c r="I105" s="318" t="e">
        <f t="shared" si="44"/>
        <v>#DIV/0!</v>
      </c>
      <c r="J105" s="164" t="e">
        <f t="shared" si="44"/>
        <v>#DIV/0!</v>
      </c>
    </row>
    <row r="106" spans="1:11" x14ac:dyDescent="0.25">
      <c r="A106" s="172"/>
      <c r="B106" s="185" t="s">
        <v>1334</v>
      </c>
      <c r="C106" s="171"/>
      <c r="D106" s="172" t="s">
        <v>9</v>
      </c>
      <c r="E106" s="164" t="e">
        <f t="shared" ref="E106:G107" si="45">E108/E110*100</f>
        <v>#DIV/0!</v>
      </c>
      <c r="F106" s="164" t="e">
        <f t="shared" si="45"/>
        <v>#DIV/0!</v>
      </c>
      <c r="G106" s="164" t="e">
        <f t="shared" si="45"/>
        <v>#DIV/0!</v>
      </c>
      <c r="H106" s="164" t="e">
        <f t="shared" ref="H106:I106" si="46">H108/H110*100</f>
        <v>#DIV/0!</v>
      </c>
      <c r="I106" s="318" t="e">
        <f t="shared" si="46"/>
        <v>#DIV/0!</v>
      </c>
      <c r="J106" s="164" t="e">
        <f t="shared" ref="J106" si="47">J108/J110*100</f>
        <v>#DIV/0!</v>
      </c>
    </row>
    <row r="107" spans="1:11" x14ac:dyDescent="0.25">
      <c r="A107" s="172"/>
      <c r="B107" s="185" t="s">
        <v>1336</v>
      </c>
      <c r="C107" s="171"/>
      <c r="D107" s="172" t="s">
        <v>9</v>
      </c>
      <c r="E107" s="164" t="e">
        <f t="shared" si="45"/>
        <v>#DIV/0!</v>
      </c>
      <c r="F107" s="164" t="e">
        <f t="shared" si="45"/>
        <v>#DIV/0!</v>
      </c>
      <c r="G107" s="164" t="e">
        <f t="shared" si="45"/>
        <v>#DIV/0!</v>
      </c>
      <c r="H107" s="164" t="e">
        <f t="shared" ref="H107:I107" si="48">H109/H111*100</f>
        <v>#DIV/0!</v>
      </c>
      <c r="I107" s="318" t="e">
        <f t="shared" si="48"/>
        <v>#DIV/0!</v>
      </c>
      <c r="J107" s="164" t="e">
        <f t="shared" ref="J107" si="49">J109/J111*100</f>
        <v>#DIV/0!</v>
      </c>
    </row>
    <row r="108" spans="1:11" x14ac:dyDescent="0.25">
      <c r="A108" s="422"/>
      <c r="B108" s="422" t="s">
        <v>173</v>
      </c>
      <c r="C108" s="172" t="s">
        <v>1646</v>
      </c>
      <c r="D108" s="415" t="s">
        <v>1076</v>
      </c>
      <c r="E108" s="181">
        <v>0</v>
      </c>
      <c r="F108" s="181">
        <v>0</v>
      </c>
      <c r="G108" s="181">
        <v>0</v>
      </c>
      <c r="H108" s="181">
        <v>0</v>
      </c>
      <c r="I108" s="319">
        <v>0</v>
      </c>
      <c r="J108" s="181">
        <v>0</v>
      </c>
    </row>
    <row r="109" spans="1:11" x14ac:dyDescent="0.25">
      <c r="A109" s="424"/>
      <c r="B109" s="424"/>
      <c r="C109" s="172" t="s">
        <v>1646</v>
      </c>
      <c r="D109" s="416"/>
      <c r="E109" s="181">
        <v>0</v>
      </c>
      <c r="F109" s="181">
        <v>0</v>
      </c>
      <c r="G109" s="181">
        <v>0</v>
      </c>
      <c r="H109" s="181">
        <v>0</v>
      </c>
      <c r="I109" s="319">
        <v>0</v>
      </c>
      <c r="J109" s="181">
        <v>0</v>
      </c>
    </row>
    <row r="110" spans="1:11" x14ac:dyDescent="0.25">
      <c r="A110" s="422"/>
      <c r="B110" s="422" t="s">
        <v>174</v>
      </c>
      <c r="C110" s="172" t="s">
        <v>1646</v>
      </c>
      <c r="D110" s="415" t="s">
        <v>1076</v>
      </c>
      <c r="E110" s="181">
        <v>0</v>
      </c>
      <c r="F110" s="181">
        <v>0</v>
      </c>
      <c r="G110" s="181">
        <v>0</v>
      </c>
      <c r="H110" s="181">
        <v>0</v>
      </c>
      <c r="I110" s="319">
        <v>0</v>
      </c>
      <c r="J110" s="181">
        <v>0</v>
      </c>
    </row>
    <row r="111" spans="1:11" ht="49.5" customHeight="1" x14ac:dyDescent="0.25">
      <c r="A111" s="424"/>
      <c r="B111" s="424"/>
      <c r="C111" s="172" t="s">
        <v>1646</v>
      </c>
      <c r="D111" s="416"/>
      <c r="E111" s="181">
        <v>0</v>
      </c>
      <c r="F111" s="181">
        <v>0</v>
      </c>
      <c r="G111" s="181">
        <v>0</v>
      </c>
      <c r="H111" s="181">
        <v>0</v>
      </c>
      <c r="I111" s="319">
        <v>0</v>
      </c>
      <c r="J111" s="181">
        <v>0</v>
      </c>
    </row>
    <row r="112" spans="1:11" ht="60.75" customHeight="1" x14ac:dyDescent="0.25">
      <c r="A112" s="172" t="s">
        <v>176</v>
      </c>
      <c r="B112" s="157" t="s">
        <v>1271</v>
      </c>
      <c r="C112" s="172"/>
      <c r="D112" s="172"/>
      <c r="E112" s="210"/>
      <c r="F112" s="210"/>
      <c r="G112" s="210"/>
      <c r="H112" s="210"/>
      <c r="I112" s="328"/>
      <c r="J112" s="210"/>
      <c r="K112" s="173" t="s">
        <v>24</v>
      </c>
    </row>
    <row r="113" spans="1:11" x14ac:dyDescent="0.25">
      <c r="A113" s="281"/>
      <c r="B113" s="185" t="s">
        <v>1272</v>
      </c>
      <c r="C113" s="172"/>
      <c r="D113" s="172" t="s">
        <v>9</v>
      </c>
      <c r="E113" s="164" t="e">
        <f t="shared" ref="E113:J113" si="50">(((E115/E117)/12*1000)/E119*100)</f>
        <v>#DIV/0!</v>
      </c>
      <c r="F113" s="164">
        <f t="shared" si="50"/>
        <v>210012.04417846489</v>
      </c>
      <c r="G113" s="164">
        <f t="shared" si="50"/>
        <v>190082.71091604428</v>
      </c>
      <c r="H113" s="164">
        <f t="shared" si="50"/>
        <v>176452.23784512267</v>
      </c>
      <c r="I113" s="318">
        <f t="shared" si="50"/>
        <v>176396.63789272407</v>
      </c>
      <c r="J113" s="164" t="e">
        <f t="shared" si="50"/>
        <v>#DIV/0!</v>
      </c>
      <c r="K113" s="173"/>
    </row>
    <row r="114" spans="1:11" x14ac:dyDescent="0.25">
      <c r="A114" s="281"/>
      <c r="B114" s="157" t="s">
        <v>185</v>
      </c>
      <c r="C114" s="172"/>
      <c r="D114" s="172" t="s">
        <v>9</v>
      </c>
      <c r="E114" s="164" t="e">
        <f t="shared" ref="E114:J114" si="51">(((E116/E118)/12*1000)/E119*100)</f>
        <v>#DIV/0!</v>
      </c>
      <c r="F114" s="164">
        <f t="shared" si="51"/>
        <v>221047.16951745146</v>
      </c>
      <c r="G114" s="164">
        <f t="shared" si="51"/>
        <v>200312.90880090685</v>
      </c>
      <c r="H114" s="164">
        <f t="shared" si="51"/>
        <v>179114.47251735683</v>
      </c>
      <c r="I114" s="318">
        <f t="shared" si="51"/>
        <v>181109.48775442713</v>
      </c>
      <c r="J114" s="164" t="e">
        <f t="shared" si="51"/>
        <v>#DIV/0!</v>
      </c>
      <c r="K114" s="173"/>
    </row>
    <row r="115" spans="1:11" ht="99.75" customHeight="1" x14ac:dyDescent="0.25">
      <c r="A115" s="160"/>
      <c r="B115" s="157" t="s">
        <v>177</v>
      </c>
      <c r="C115" s="172" t="s">
        <v>178</v>
      </c>
      <c r="D115" s="172" t="s">
        <v>1270</v>
      </c>
      <c r="E115" s="181"/>
      <c r="F115" s="181">
        <v>353479</v>
      </c>
      <c r="G115" s="161">
        <v>355479</v>
      </c>
      <c r="H115" s="161">
        <v>351935.4</v>
      </c>
      <c r="I115" s="329">
        <v>358840.3</v>
      </c>
      <c r="J115" s="161">
        <v>349823.1</v>
      </c>
    </row>
    <row r="116" spans="1:11" ht="90" x14ac:dyDescent="0.25">
      <c r="A116" s="160"/>
      <c r="B116" s="157" t="s">
        <v>179</v>
      </c>
      <c r="C116" s="172" t="s">
        <v>180</v>
      </c>
      <c r="D116" s="172" t="s">
        <v>1270</v>
      </c>
      <c r="E116" s="181"/>
      <c r="F116" s="181">
        <v>323586</v>
      </c>
      <c r="G116" s="162">
        <v>323462</v>
      </c>
      <c r="H116" s="162">
        <v>318718.8</v>
      </c>
      <c r="I116" s="322">
        <v>324726.5</v>
      </c>
      <c r="J116" s="162">
        <v>338487</v>
      </c>
    </row>
    <row r="117" spans="1:11" ht="76.5" customHeight="1" x14ac:dyDescent="0.25">
      <c r="A117" s="160"/>
      <c r="B117" s="157" t="s">
        <v>44</v>
      </c>
      <c r="C117" s="172" t="s">
        <v>45</v>
      </c>
      <c r="D117" s="172" t="s">
        <v>1076</v>
      </c>
      <c r="E117" s="181">
        <v>519</v>
      </c>
      <c r="F117" s="181">
        <v>522</v>
      </c>
      <c r="G117" s="162">
        <v>520</v>
      </c>
      <c r="H117" s="162">
        <v>510</v>
      </c>
      <c r="I117" s="322">
        <v>520.16999999999996</v>
      </c>
      <c r="J117" s="162">
        <v>511.3</v>
      </c>
    </row>
    <row r="118" spans="1:11" ht="77.25" customHeight="1" x14ac:dyDescent="0.25">
      <c r="A118" s="160"/>
      <c r="B118" s="157" t="s">
        <v>181</v>
      </c>
      <c r="C118" s="172" t="s">
        <v>182</v>
      </c>
      <c r="D118" s="172" t="s">
        <v>1076</v>
      </c>
      <c r="E118" s="181">
        <v>446</v>
      </c>
      <c r="F118" s="181">
        <v>454</v>
      </c>
      <c r="G118" s="162">
        <v>449</v>
      </c>
      <c r="H118" s="162">
        <v>455</v>
      </c>
      <c r="I118" s="322">
        <v>458.47</v>
      </c>
      <c r="J118" s="162">
        <v>451.3</v>
      </c>
    </row>
    <row r="119" spans="1:11" ht="30" x14ac:dyDescent="0.25">
      <c r="A119" s="160"/>
      <c r="B119" s="157" t="s">
        <v>183</v>
      </c>
      <c r="C119" s="172" t="s">
        <v>184</v>
      </c>
      <c r="D119" s="172" t="s">
        <v>1338</v>
      </c>
      <c r="E119" s="181"/>
      <c r="F119" s="181">
        <v>26.87</v>
      </c>
      <c r="G119" s="162">
        <v>29.97</v>
      </c>
      <c r="H119" s="162">
        <v>32.590000000000003</v>
      </c>
      <c r="I119" s="322">
        <v>32.590000000000003</v>
      </c>
      <c r="J119" s="162"/>
    </row>
    <row r="120" spans="1:11" s="179" customFormat="1" ht="75" x14ac:dyDescent="0.25">
      <c r="A120" s="189" t="s">
        <v>1599</v>
      </c>
      <c r="B120" s="168" t="s">
        <v>1600</v>
      </c>
      <c r="C120" s="189"/>
      <c r="D120" s="189" t="s">
        <v>1598</v>
      </c>
      <c r="E120" s="190">
        <f>E117/E121*100</f>
        <v>46.17437722419929</v>
      </c>
      <c r="F120" s="190">
        <f t="shared" ref="F120:J120" si="52">F117/F121*100</f>
        <v>44.463373083475297</v>
      </c>
      <c r="G120" s="190">
        <f t="shared" si="52"/>
        <v>43.918918918918919</v>
      </c>
      <c r="H120" s="190">
        <f t="shared" si="52"/>
        <v>44.247787610619469</v>
      </c>
      <c r="I120" s="330">
        <f>I117/I121*100</f>
        <v>44.799758849366981</v>
      </c>
      <c r="J120" s="190">
        <f t="shared" si="52"/>
        <v>45.328014184397162</v>
      </c>
    </row>
    <row r="121" spans="1:11" s="179" customFormat="1" ht="57.75" customHeight="1" x14ac:dyDescent="0.25">
      <c r="A121" s="189"/>
      <c r="B121" s="168" t="s">
        <v>1601</v>
      </c>
      <c r="C121" s="189"/>
      <c r="D121" s="189" t="s">
        <v>1076</v>
      </c>
      <c r="E121" s="190">
        <v>1124</v>
      </c>
      <c r="F121" s="190">
        <v>1174</v>
      </c>
      <c r="G121" s="162">
        <v>1184</v>
      </c>
      <c r="H121" s="162">
        <v>1152.5999999999999</v>
      </c>
      <c r="I121" s="322">
        <v>1161.0999999999999</v>
      </c>
      <c r="J121" s="162">
        <v>1128</v>
      </c>
    </row>
    <row r="122" spans="1:11" s="179" customFormat="1" ht="90" customHeight="1" x14ac:dyDescent="0.25">
      <c r="A122" s="189" t="s">
        <v>1602</v>
      </c>
      <c r="B122" s="168" t="s">
        <v>1603</v>
      </c>
      <c r="C122" s="189"/>
      <c r="D122" s="189"/>
      <c r="E122" s="190"/>
      <c r="F122" s="190"/>
      <c r="G122" s="162"/>
      <c r="H122" s="162"/>
      <c r="I122" s="322"/>
      <c r="J122" s="162"/>
    </row>
    <row r="123" spans="1:11" s="179" customFormat="1" ht="17.25" customHeight="1" x14ac:dyDescent="0.25">
      <c r="A123" s="189"/>
      <c r="B123" s="168" t="s">
        <v>1604</v>
      </c>
      <c r="C123" s="189"/>
      <c r="D123" s="189"/>
      <c r="E123" s="190"/>
      <c r="F123" s="190"/>
      <c r="G123" s="162"/>
      <c r="H123" s="162"/>
      <c r="I123" s="322"/>
      <c r="J123" s="162"/>
    </row>
    <row r="124" spans="1:11" s="179" customFormat="1" ht="15.75" customHeight="1" x14ac:dyDescent="0.25">
      <c r="A124" s="189"/>
      <c r="B124" s="168" t="s">
        <v>1605</v>
      </c>
      <c r="C124" s="189" t="s">
        <v>1598</v>
      </c>
      <c r="D124" s="189"/>
      <c r="E124" s="162">
        <f>13/23*100</f>
        <v>56.521739130434781</v>
      </c>
      <c r="F124" s="162">
        <f>12/22*100</f>
        <v>54.54545454545454</v>
      </c>
      <c r="G124" s="162">
        <f>11/21*100</f>
        <v>52.380952380952387</v>
      </c>
      <c r="H124" s="162">
        <f>11/20*100</f>
        <v>55.000000000000007</v>
      </c>
      <c r="I124" s="322">
        <f>11/19*100</f>
        <v>57.894736842105267</v>
      </c>
      <c r="J124" s="162">
        <f>9/19*100</f>
        <v>47.368421052631575</v>
      </c>
    </row>
    <row r="125" spans="1:11" s="179" customFormat="1" ht="15.75" customHeight="1" x14ac:dyDescent="0.25">
      <c r="A125" s="189"/>
      <c r="B125" s="168" t="s">
        <v>1606</v>
      </c>
      <c r="C125" s="189" t="s">
        <v>1598</v>
      </c>
      <c r="D125" s="189"/>
      <c r="E125" s="162">
        <f>13/23*100</f>
        <v>56.521739130434781</v>
      </c>
      <c r="F125" s="162">
        <f>12/22*100</f>
        <v>54.54545454545454</v>
      </c>
      <c r="G125" s="162">
        <f>11/21*100</f>
        <v>52.380952380952387</v>
      </c>
      <c r="H125" s="162">
        <f>11/20*100</f>
        <v>55.000000000000007</v>
      </c>
      <c r="I125" s="322">
        <f>11/19*100</f>
        <v>57.894736842105267</v>
      </c>
      <c r="J125" s="162">
        <f>9/19*100</f>
        <v>47.368421052631575</v>
      </c>
    </row>
    <row r="126" spans="1:11" s="179" customFormat="1" ht="15.75" customHeight="1" x14ac:dyDescent="0.25">
      <c r="A126" s="189"/>
      <c r="B126" s="168" t="s">
        <v>1607</v>
      </c>
      <c r="C126" s="189"/>
      <c r="D126" s="189"/>
      <c r="E126" s="162"/>
      <c r="F126" s="162"/>
      <c r="G126" s="162"/>
      <c r="H126" s="162"/>
      <c r="I126" s="322"/>
      <c r="J126" s="162"/>
    </row>
    <row r="127" spans="1:11" s="179" customFormat="1" ht="15.75" customHeight="1" x14ac:dyDescent="0.25">
      <c r="A127" s="189"/>
      <c r="B127" s="168" t="s">
        <v>1605</v>
      </c>
      <c r="C127" s="189" t="s">
        <v>1598</v>
      </c>
      <c r="D127" s="189"/>
      <c r="E127" s="162">
        <f>12/23*100</f>
        <v>52.173913043478258</v>
      </c>
      <c r="F127" s="162">
        <f>12/22*100</f>
        <v>54.54545454545454</v>
      </c>
      <c r="G127" s="162">
        <f>11/21*100</f>
        <v>52.380952380952387</v>
      </c>
      <c r="H127" s="162">
        <f>11/20*100</f>
        <v>55.000000000000007</v>
      </c>
      <c r="I127" s="322">
        <f>11/19*100</f>
        <v>57.894736842105267</v>
      </c>
      <c r="J127" s="162">
        <f>13/19*100</f>
        <v>68.421052631578945</v>
      </c>
    </row>
    <row r="128" spans="1:11" s="179" customFormat="1" ht="15.75" customHeight="1" x14ac:dyDescent="0.25">
      <c r="A128" s="189"/>
      <c r="B128" s="168" t="s">
        <v>1606</v>
      </c>
      <c r="C128" s="189" t="s">
        <v>1598</v>
      </c>
      <c r="D128" s="189"/>
      <c r="E128" s="162">
        <f>12/23*100</f>
        <v>52.173913043478258</v>
      </c>
      <c r="F128" s="162">
        <f>12/22*100</f>
        <v>54.54545454545454</v>
      </c>
      <c r="G128" s="162">
        <f>11/21*100</f>
        <v>52.380952380952387</v>
      </c>
      <c r="H128" s="162">
        <f>11/20*100</f>
        <v>55.000000000000007</v>
      </c>
      <c r="I128" s="322">
        <f>11/19*100</f>
        <v>57.894736842105267</v>
      </c>
      <c r="J128" s="162">
        <f>13/19*100</f>
        <v>68.421052631578945</v>
      </c>
    </row>
    <row r="129" spans="1:11" s="179" customFormat="1" ht="15.75" customHeight="1" x14ac:dyDescent="0.25">
      <c r="A129" s="189"/>
      <c r="B129" s="168" t="s">
        <v>1608</v>
      </c>
      <c r="C129" s="189"/>
      <c r="D129" s="189"/>
      <c r="E129" s="162"/>
      <c r="F129" s="162"/>
      <c r="G129" s="162"/>
      <c r="H129" s="162"/>
      <c r="I129" s="322"/>
      <c r="J129" s="162"/>
    </row>
    <row r="130" spans="1:11" s="179" customFormat="1" ht="15.75" customHeight="1" x14ac:dyDescent="0.25">
      <c r="A130" s="189"/>
      <c r="B130" s="168" t="s">
        <v>1605</v>
      </c>
      <c r="C130" s="189" t="s">
        <v>1598</v>
      </c>
      <c r="D130" s="189"/>
      <c r="E130" s="162">
        <f>5/23*100</f>
        <v>21.739130434782609</v>
      </c>
      <c r="F130" s="162">
        <f>5/22*100</f>
        <v>22.727272727272727</v>
      </c>
      <c r="G130" s="162">
        <f>5/21*100</f>
        <v>23.809523809523807</v>
      </c>
      <c r="H130" s="162">
        <f>6/20*100</f>
        <v>30</v>
      </c>
      <c r="I130" s="322">
        <f>4/19*100</f>
        <v>21.052631578947366</v>
      </c>
      <c r="J130" s="162">
        <f>4/19*100</f>
        <v>21.052631578947366</v>
      </c>
    </row>
    <row r="131" spans="1:11" s="179" customFormat="1" ht="15.75" customHeight="1" x14ac:dyDescent="0.25">
      <c r="A131" s="189"/>
      <c r="B131" s="168" t="s">
        <v>1606</v>
      </c>
      <c r="C131" s="189" t="s">
        <v>1598</v>
      </c>
      <c r="D131" s="189"/>
      <c r="E131" s="162">
        <f>5/23*100</f>
        <v>21.739130434782609</v>
      </c>
      <c r="F131" s="162">
        <f>5/22*100</f>
        <v>22.727272727272727</v>
      </c>
      <c r="G131" s="162">
        <f>5/21*100</f>
        <v>23.809523809523807</v>
      </c>
      <c r="H131" s="162">
        <f>6/20*100</f>
        <v>30</v>
      </c>
      <c r="I131" s="322">
        <f>4/19*100</f>
        <v>21.052631578947366</v>
      </c>
      <c r="J131" s="162">
        <f>4/19*100</f>
        <v>21.052631578947366</v>
      </c>
    </row>
    <row r="132" spans="1:11" s="179" customFormat="1" ht="71.25" x14ac:dyDescent="0.25">
      <c r="A132" s="191" t="s">
        <v>188</v>
      </c>
      <c r="B132" s="192" t="s">
        <v>187</v>
      </c>
      <c r="C132" s="193"/>
      <c r="D132" s="189"/>
      <c r="E132" s="193"/>
      <c r="F132" s="193"/>
      <c r="G132" s="193"/>
      <c r="H132" s="193"/>
      <c r="I132" s="331"/>
      <c r="J132" s="193"/>
    </row>
    <row r="133" spans="1:11" s="179" customFormat="1" ht="33" customHeight="1" x14ac:dyDescent="0.25">
      <c r="A133" s="189" t="s">
        <v>190</v>
      </c>
      <c r="B133" s="168" t="s">
        <v>189</v>
      </c>
      <c r="C133" s="193"/>
      <c r="D133" s="189"/>
      <c r="E133" s="194"/>
      <c r="F133" s="194"/>
      <c r="G133" s="194"/>
      <c r="H133" s="194"/>
      <c r="I133" s="325"/>
      <c r="J133" s="194"/>
      <c r="K133" s="178" t="s">
        <v>200</v>
      </c>
    </row>
    <row r="134" spans="1:11" s="179" customFormat="1" x14ac:dyDescent="0.25">
      <c r="A134" s="195"/>
      <c r="B134" s="196" t="s">
        <v>1333</v>
      </c>
      <c r="C134" s="193"/>
      <c r="D134" s="402" t="s">
        <v>1267</v>
      </c>
      <c r="E134" s="194">
        <f t="shared" ref="E134:J134" si="53">(E136+E137+E140)/((E142-E145-E148)+(E150+0.1*E151))</f>
        <v>17.71075873143316</v>
      </c>
      <c r="F134" s="194">
        <f t="shared" si="53"/>
        <v>18.044739869615238</v>
      </c>
      <c r="G134" s="194">
        <f t="shared" si="53"/>
        <v>19.664296708934984</v>
      </c>
      <c r="H134" s="194">
        <f t="shared" si="53"/>
        <v>20.271794994382425</v>
      </c>
      <c r="I134" s="325">
        <f t="shared" si="53"/>
        <v>20.746202175543885</v>
      </c>
      <c r="J134" s="194">
        <f t="shared" si="53"/>
        <v>20.227283388844587</v>
      </c>
      <c r="K134" s="178"/>
    </row>
    <row r="135" spans="1:11" s="179" customFormat="1" x14ac:dyDescent="0.25">
      <c r="A135" s="195"/>
      <c r="B135" s="196" t="s">
        <v>1335</v>
      </c>
      <c r="C135" s="193"/>
      <c r="D135" s="403"/>
      <c r="E135" s="194" t="e">
        <f t="shared" ref="E135:J135" si="54">(E138+E139)/(E143-E146-E148)</f>
        <v>#DIV/0!</v>
      </c>
      <c r="F135" s="194" t="e">
        <f t="shared" si="54"/>
        <v>#DIV/0!</v>
      </c>
      <c r="G135" s="194" t="e">
        <f t="shared" si="54"/>
        <v>#DIV/0!</v>
      </c>
      <c r="H135" s="194" t="e">
        <f t="shared" si="54"/>
        <v>#DIV/0!</v>
      </c>
      <c r="I135" s="325" t="e">
        <f t="shared" si="54"/>
        <v>#DIV/0!</v>
      </c>
      <c r="J135" s="194" t="e">
        <f t="shared" si="54"/>
        <v>#DIV/0!</v>
      </c>
      <c r="K135" s="178"/>
    </row>
    <row r="136" spans="1:11" s="179" customFormat="1" x14ac:dyDescent="0.25">
      <c r="A136" s="429"/>
      <c r="B136" s="429" t="s">
        <v>191</v>
      </c>
      <c r="C136" s="189" t="s">
        <v>1647</v>
      </c>
      <c r="D136" s="402" t="s">
        <v>1267</v>
      </c>
      <c r="E136" s="190">
        <v>27525</v>
      </c>
      <c r="F136" s="190">
        <v>27525</v>
      </c>
      <c r="G136" s="190">
        <v>32042</v>
      </c>
      <c r="H136" s="190">
        <v>32224</v>
      </c>
      <c r="I136" s="330">
        <v>35574</v>
      </c>
      <c r="J136" s="190">
        <v>35574</v>
      </c>
      <c r="K136" s="188"/>
    </row>
    <row r="137" spans="1:11" s="179" customFormat="1" ht="48.75" customHeight="1" x14ac:dyDescent="0.25">
      <c r="A137" s="430"/>
      <c r="B137" s="430"/>
      <c r="C137" s="189" t="s">
        <v>1647</v>
      </c>
      <c r="D137" s="403"/>
      <c r="E137" s="190">
        <v>43063</v>
      </c>
      <c r="F137" s="190">
        <v>43057</v>
      </c>
      <c r="G137" s="190">
        <v>48442</v>
      </c>
      <c r="H137" s="190">
        <v>52579</v>
      </c>
      <c r="I137" s="330">
        <v>52921</v>
      </c>
      <c r="J137" s="190">
        <v>50663</v>
      </c>
    </row>
    <row r="138" spans="1:11" x14ac:dyDescent="0.25">
      <c r="A138" s="422"/>
      <c r="B138" s="422" t="s">
        <v>191</v>
      </c>
      <c r="C138" s="172" t="s">
        <v>1648</v>
      </c>
      <c r="D138" s="415" t="s">
        <v>1267</v>
      </c>
      <c r="E138" s="181">
        <v>0</v>
      </c>
      <c r="F138" s="181">
        <v>0</v>
      </c>
      <c r="G138" s="181">
        <v>0</v>
      </c>
      <c r="H138" s="181">
        <v>0</v>
      </c>
      <c r="I138" s="319">
        <v>0</v>
      </c>
      <c r="J138" s="181">
        <v>0</v>
      </c>
    </row>
    <row r="139" spans="1:11" ht="48.75" customHeight="1" x14ac:dyDescent="0.25">
      <c r="A139" s="424"/>
      <c r="B139" s="424"/>
      <c r="C139" s="172" t="s">
        <v>1648</v>
      </c>
      <c r="D139" s="416"/>
      <c r="E139" s="181">
        <v>0</v>
      </c>
      <c r="F139" s="181">
        <v>0</v>
      </c>
      <c r="G139" s="181">
        <v>0</v>
      </c>
      <c r="H139" s="181">
        <v>0</v>
      </c>
      <c r="I139" s="319">
        <v>0</v>
      </c>
      <c r="J139" s="181">
        <v>0</v>
      </c>
    </row>
    <row r="140" spans="1:11" ht="30" x14ac:dyDescent="0.25">
      <c r="A140" s="157"/>
      <c r="B140" s="157" t="s">
        <v>192</v>
      </c>
      <c r="C140" s="172" t="s">
        <v>1633</v>
      </c>
      <c r="D140" s="172" t="s">
        <v>1267</v>
      </c>
      <c r="E140" s="181">
        <v>0</v>
      </c>
      <c r="F140" s="181">
        <v>0</v>
      </c>
      <c r="G140" s="181">
        <v>0</v>
      </c>
      <c r="H140" s="181">
        <v>0</v>
      </c>
      <c r="I140" s="319">
        <v>0</v>
      </c>
      <c r="J140" s="181">
        <v>0</v>
      </c>
    </row>
    <row r="141" spans="1:11" ht="90" x14ac:dyDescent="0.25">
      <c r="A141" s="171"/>
      <c r="B141" s="157" t="s">
        <v>163</v>
      </c>
      <c r="C141" s="172" t="s">
        <v>193</v>
      </c>
      <c r="D141" s="172" t="s">
        <v>1076</v>
      </c>
      <c r="E141" s="181">
        <f t="shared" ref="E141:F141" si="55">E142+E143</f>
        <v>4352</v>
      </c>
      <c r="F141" s="181">
        <f t="shared" si="55"/>
        <v>4358</v>
      </c>
      <c r="G141" s="181">
        <f>G142+G143</f>
        <v>4453</v>
      </c>
      <c r="H141" s="181">
        <v>4456</v>
      </c>
      <c r="I141" s="319">
        <v>4489</v>
      </c>
      <c r="J141" s="181">
        <v>4488</v>
      </c>
      <c r="K141" s="186"/>
    </row>
    <row r="142" spans="1:11" x14ac:dyDescent="0.25">
      <c r="A142" s="171"/>
      <c r="B142" s="157" t="s">
        <v>1333</v>
      </c>
      <c r="C142" s="172"/>
      <c r="D142" s="172"/>
      <c r="E142" s="181">
        <v>4352</v>
      </c>
      <c r="F142" s="181">
        <v>4358</v>
      </c>
      <c r="G142" s="181">
        <v>4453</v>
      </c>
      <c r="H142" s="181">
        <v>4456</v>
      </c>
      <c r="I142" s="319">
        <v>4489</v>
      </c>
      <c r="J142" s="181">
        <v>4488</v>
      </c>
      <c r="K142" s="186"/>
    </row>
    <row r="143" spans="1:11" x14ac:dyDescent="0.25">
      <c r="A143" s="171"/>
      <c r="B143" s="157" t="s">
        <v>1335</v>
      </c>
      <c r="C143" s="172"/>
      <c r="D143" s="172"/>
      <c r="E143" s="181">
        <v>0</v>
      </c>
      <c r="F143" s="181">
        <v>0</v>
      </c>
      <c r="G143" s="181">
        <v>0</v>
      </c>
      <c r="H143" s="181">
        <v>0</v>
      </c>
      <c r="I143" s="319">
        <v>0</v>
      </c>
      <c r="J143" s="181">
        <v>0</v>
      </c>
      <c r="K143" s="186"/>
    </row>
    <row r="144" spans="1:11" ht="105.75" customHeight="1" x14ac:dyDescent="0.25">
      <c r="A144" s="412"/>
      <c r="B144" s="212" t="s">
        <v>194</v>
      </c>
      <c r="C144" s="275"/>
      <c r="D144" s="275"/>
      <c r="E144" s="181">
        <f>E145+E146</f>
        <v>381</v>
      </c>
      <c r="F144" s="181">
        <f>F145+F146</f>
        <v>450</v>
      </c>
      <c r="G144" s="181">
        <f>G145+G146</f>
        <v>363</v>
      </c>
      <c r="H144" s="181">
        <f>H145+H146</f>
        <v>276</v>
      </c>
      <c r="I144" s="319">
        <v>226</v>
      </c>
      <c r="J144" s="181">
        <v>227</v>
      </c>
    </row>
    <row r="145" spans="1:11" x14ac:dyDescent="0.25">
      <c r="A145" s="413"/>
      <c r="B145" s="213" t="s">
        <v>1333</v>
      </c>
      <c r="C145" s="275" t="s">
        <v>1642</v>
      </c>
      <c r="D145" s="275" t="s">
        <v>1076</v>
      </c>
      <c r="E145" s="181">
        <v>381</v>
      </c>
      <c r="F145" s="181">
        <v>450</v>
      </c>
      <c r="G145" s="181">
        <v>363</v>
      </c>
      <c r="H145" s="181">
        <v>276</v>
      </c>
      <c r="I145" s="319">
        <v>226</v>
      </c>
      <c r="J145" s="181">
        <v>227</v>
      </c>
      <c r="K145" s="186"/>
    </row>
    <row r="146" spans="1:11" x14ac:dyDescent="0.25">
      <c r="A146" s="414"/>
      <c r="B146" s="214" t="s">
        <v>1335</v>
      </c>
      <c r="C146" s="275" t="s">
        <v>1642</v>
      </c>
      <c r="D146" s="275" t="s">
        <v>1076</v>
      </c>
      <c r="E146" s="181">
        <v>0</v>
      </c>
      <c r="F146" s="181">
        <v>0</v>
      </c>
      <c r="G146" s="181">
        <v>0</v>
      </c>
      <c r="H146" s="181">
        <v>0</v>
      </c>
      <c r="I146" s="319">
        <v>0</v>
      </c>
      <c r="J146" s="181">
        <v>0</v>
      </c>
      <c r="K146" s="186"/>
    </row>
    <row r="147" spans="1:11" ht="105" x14ac:dyDescent="0.25">
      <c r="A147" s="412"/>
      <c r="B147" s="212" t="s">
        <v>195</v>
      </c>
      <c r="C147" s="275"/>
      <c r="D147" s="275"/>
      <c r="E147" s="181">
        <f>E148+E149</f>
        <v>0</v>
      </c>
      <c r="F147" s="181">
        <f>F148+F149</f>
        <v>0</v>
      </c>
      <c r="G147" s="181">
        <f>G148+G149</f>
        <v>0</v>
      </c>
      <c r="H147" s="181">
        <v>0</v>
      </c>
      <c r="I147" s="319">
        <v>0</v>
      </c>
      <c r="J147" s="181">
        <v>0</v>
      </c>
    </row>
    <row r="148" spans="1:11" x14ac:dyDescent="0.25">
      <c r="A148" s="413"/>
      <c r="B148" s="213" t="s">
        <v>1333</v>
      </c>
      <c r="C148" s="275" t="s">
        <v>1632</v>
      </c>
      <c r="D148" s="275" t="s">
        <v>1076</v>
      </c>
      <c r="E148" s="181">
        <v>0</v>
      </c>
      <c r="F148" s="181">
        <v>0</v>
      </c>
      <c r="G148" s="181">
        <v>0</v>
      </c>
      <c r="H148" s="181">
        <v>0</v>
      </c>
      <c r="I148" s="319">
        <v>0</v>
      </c>
      <c r="J148" s="181">
        <v>0</v>
      </c>
      <c r="K148" s="186"/>
    </row>
    <row r="149" spans="1:11" x14ac:dyDescent="0.25">
      <c r="A149" s="414"/>
      <c r="B149" s="214" t="s">
        <v>1335</v>
      </c>
      <c r="C149" s="275" t="s">
        <v>1642</v>
      </c>
      <c r="D149" s="275" t="s">
        <v>1076</v>
      </c>
      <c r="E149" s="181">
        <v>0</v>
      </c>
      <c r="F149" s="181">
        <v>0</v>
      </c>
      <c r="G149" s="181">
        <v>0</v>
      </c>
      <c r="H149" s="181">
        <v>0</v>
      </c>
      <c r="I149" s="319">
        <v>0</v>
      </c>
      <c r="J149" s="181">
        <v>0</v>
      </c>
      <c r="K149" s="186"/>
    </row>
    <row r="150" spans="1:11" ht="48.75" customHeight="1" x14ac:dyDescent="0.25">
      <c r="A150" s="171"/>
      <c r="B150" s="157" t="s">
        <v>196</v>
      </c>
      <c r="C150" s="172" t="s">
        <v>197</v>
      </c>
      <c r="D150" s="415" t="s">
        <v>1076</v>
      </c>
      <c r="E150" s="181">
        <v>11</v>
      </c>
      <c r="F150" s="181">
        <v>1</v>
      </c>
      <c r="G150" s="181">
        <v>0</v>
      </c>
      <c r="H150" s="181">
        <v>0</v>
      </c>
      <c r="I150" s="319">
        <v>0</v>
      </c>
      <c r="J150" s="181">
        <v>0</v>
      </c>
      <c r="K150" s="186"/>
    </row>
    <row r="151" spans="1:11" ht="52.5" customHeight="1" x14ac:dyDescent="0.25">
      <c r="A151" s="171"/>
      <c r="B151" s="157" t="s">
        <v>198</v>
      </c>
      <c r="C151" s="172" t="s">
        <v>199</v>
      </c>
      <c r="D151" s="416"/>
      <c r="E151" s="181">
        <v>36</v>
      </c>
      <c r="F151" s="181">
        <v>25</v>
      </c>
      <c r="G151" s="181">
        <v>29</v>
      </c>
      <c r="H151" s="181">
        <v>33</v>
      </c>
      <c r="I151" s="319">
        <v>26</v>
      </c>
      <c r="J151" s="181">
        <v>24</v>
      </c>
    </row>
    <row r="152" spans="1:11" ht="48" customHeight="1" x14ac:dyDescent="0.25">
      <c r="A152" s="172" t="s">
        <v>210</v>
      </c>
      <c r="B152" s="157" t="s">
        <v>201</v>
      </c>
      <c r="C152" s="171"/>
      <c r="D152" s="172"/>
      <c r="E152" s="171"/>
      <c r="F152" s="171"/>
      <c r="G152" s="171"/>
      <c r="H152" s="171"/>
      <c r="I152" s="317"/>
      <c r="J152" s="171"/>
      <c r="K152" s="173" t="s">
        <v>209</v>
      </c>
    </row>
    <row r="153" spans="1:11" x14ac:dyDescent="0.25">
      <c r="A153" s="172"/>
      <c r="B153" s="157" t="s">
        <v>67</v>
      </c>
      <c r="C153" s="171"/>
      <c r="D153" s="172"/>
      <c r="E153" s="164"/>
      <c r="F153" s="164"/>
      <c r="G153" s="164"/>
      <c r="H153" s="164"/>
      <c r="I153" s="318"/>
      <c r="J153" s="164"/>
      <c r="K153" s="173"/>
    </row>
    <row r="154" spans="1:11" x14ac:dyDescent="0.25">
      <c r="A154" s="172"/>
      <c r="B154" s="185" t="s">
        <v>1333</v>
      </c>
      <c r="C154" s="171"/>
      <c r="D154" s="172" t="s">
        <v>9</v>
      </c>
      <c r="E154" s="164">
        <f t="shared" ref="E154:I154" si="56">(E163+E164+E176)/(E179+E180+E183)*100</f>
        <v>86.956521739130437</v>
      </c>
      <c r="F154" s="164">
        <f t="shared" si="56"/>
        <v>86.36363636363636</v>
      </c>
      <c r="G154" s="164">
        <f t="shared" si="56"/>
        <v>85.714285714285708</v>
      </c>
      <c r="H154" s="164">
        <f t="shared" si="56"/>
        <v>95</v>
      </c>
      <c r="I154" s="318">
        <f t="shared" si="56"/>
        <v>100</v>
      </c>
      <c r="J154" s="164">
        <f>(J163+J164+J176)/(J179+J180+J183)*100</f>
        <v>100</v>
      </c>
      <c r="K154" s="173"/>
    </row>
    <row r="155" spans="1:11" x14ac:dyDescent="0.25">
      <c r="A155" s="172"/>
      <c r="B155" s="185" t="s">
        <v>1335</v>
      </c>
      <c r="C155" s="171"/>
      <c r="D155" s="172" t="s">
        <v>9</v>
      </c>
      <c r="E155" s="164" t="e">
        <f t="shared" ref="E155:J155" si="57">(E165+E166)/(E181+E182)*100</f>
        <v>#DIV/0!</v>
      </c>
      <c r="F155" s="164" t="e">
        <f t="shared" si="57"/>
        <v>#DIV/0!</v>
      </c>
      <c r="G155" s="164" t="e">
        <f t="shared" si="57"/>
        <v>#DIV/0!</v>
      </c>
      <c r="H155" s="164" t="e">
        <f t="shared" si="57"/>
        <v>#DIV/0!</v>
      </c>
      <c r="I155" s="318" t="e">
        <f t="shared" si="57"/>
        <v>#DIV/0!</v>
      </c>
      <c r="J155" s="164" t="e">
        <f t="shared" si="57"/>
        <v>#DIV/0!</v>
      </c>
      <c r="K155" s="173"/>
    </row>
    <row r="156" spans="1:11" x14ac:dyDescent="0.25">
      <c r="A156" s="172"/>
      <c r="B156" s="157" t="s">
        <v>68</v>
      </c>
      <c r="C156" s="171"/>
      <c r="D156" s="172"/>
      <c r="E156" s="210"/>
      <c r="F156" s="210"/>
      <c r="G156" s="210"/>
      <c r="H156" s="210"/>
      <c r="I156" s="328"/>
      <c r="J156" s="210"/>
      <c r="K156" s="173"/>
    </row>
    <row r="157" spans="1:11" x14ac:dyDescent="0.25">
      <c r="A157" s="172"/>
      <c r="B157" s="185" t="s">
        <v>1333</v>
      </c>
      <c r="C157" s="171"/>
      <c r="D157" s="172" t="s">
        <v>9</v>
      </c>
      <c r="E157" s="164">
        <f t="shared" ref="E157:J157" si="58">(E167+E168+E177)/(E179+E180+E183)*100</f>
        <v>95.652173913043484</v>
      </c>
      <c r="F157" s="164">
        <f t="shared" si="58"/>
        <v>95.454545454545453</v>
      </c>
      <c r="G157" s="164">
        <f t="shared" si="58"/>
        <v>90.476190476190482</v>
      </c>
      <c r="H157" s="164">
        <f t="shared" si="58"/>
        <v>95</v>
      </c>
      <c r="I157" s="318">
        <f t="shared" si="58"/>
        <v>100</v>
      </c>
      <c r="J157" s="164">
        <f t="shared" si="58"/>
        <v>100</v>
      </c>
      <c r="K157" s="173"/>
    </row>
    <row r="158" spans="1:11" x14ac:dyDescent="0.25">
      <c r="A158" s="172"/>
      <c r="B158" s="185" t="s">
        <v>1335</v>
      </c>
      <c r="C158" s="171"/>
      <c r="D158" s="172" t="s">
        <v>9</v>
      </c>
      <c r="E158" s="164" t="e">
        <f t="shared" ref="E158:J158" si="59">(E169+E170)/(E181+E182)*100</f>
        <v>#DIV/0!</v>
      </c>
      <c r="F158" s="164" t="e">
        <f t="shared" si="59"/>
        <v>#DIV/0!</v>
      </c>
      <c r="G158" s="164" t="e">
        <f t="shared" si="59"/>
        <v>#DIV/0!</v>
      </c>
      <c r="H158" s="164" t="e">
        <f t="shared" si="59"/>
        <v>#DIV/0!</v>
      </c>
      <c r="I158" s="318" t="e">
        <f t="shared" si="59"/>
        <v>#DIV/0!</v>
      </c>
      <c r="J158" s="164" t="e">
        <f t="shared" si="59"/>
        <v>#DIV/0!</v>
      </c>
      <c r="K158" s="173"/>
    </row>
    <row r="159" spans="1:11" x14ac:dyDescent="0.25">
      <c r="A159" s="172"/>
      <c r="B159" s="157" t="s">
        <v>69</v>
      </c>
      <c r="C159" s="171"/>
      <c r="D159" s="172"/>
      <c r="E159" s="164"/>
      <c r="F159" s="164"/>
      <c r="G159" s="164"/>
      <c r="H159" s="164"/>
      <c r="I159" s="318"/>
      <c r="J159" s="164"/>
      <c r="K159" s="173"/>
    </row>
    <row r="160" spans="1:11" x14ac:dyDescent="0.25">
      <c r="A160" s="172"/>
      <c r="B160" s="185" t="s">
        <v>1333</v>
      </c>
      <c r="C160" s="171"/>
      <c r="D160" s="172" t="s">
        <v>9</v>
      </c>
      <c r="E160" s="164">
        <f t="shared" ref="E160:J160" si="60">(E171+E172+E178)/(E179+E180+E183)*100</f>
        <v>91.304347826086953</v>
      </c>
      <c r="F160" s="164">
        <f t="shared" si="60"/>
        <v>90.909090909090907</v>
      </c>
      <c r="G160" s="164">
        <f t="shared" si="60"/>
        <v>90.476190476190482</v>
      </c>
      <c r="H160" s="164">
        <f t="shared" si="60"/>
        <v>95</v>
      </c>
      <c r="I160" s="318">
        <f t="shared" si="60"/>
        <v>100</v>
      </c>
      <c r="J160" s="164">
        <f t="shared" si="60"/>
        <v>100</v>
      </c>
      <c r="K160" s="173"/>
    </row>
    <row r="161" spans="1:11" x14ac:dyDescent="0.25">
      <c r="A161" s="172"/>
      <c r="B161" s="185" t="s">
        <v>1335</v>
      </c>
      <c r="C161" s="171"/>
      <c r="D161" s="172" t="s">
        <v>9</v>
      </c>
      <c r="E161" s="164" t="e">
        <f t="shared" ref="E161:J161" si="61">(E173+E174)/(E181+E182)*100</f>
        <v>#DIV/0!</v>
      </c>
      <c r="F161" s="164" t="e">
        <f t="shared" si="61"/>
        <v>#DIV/0!</v>
      </c>
      <c r="G161" s="164" t="e">
        <f t="shared" si="61"/>
        <v>#DIV/0!</v>
      </c>
      <c r="H161" s="164" t="e">
        <f t="shared" si="61"/>
        <v>#DIV/0!</v>
      </c>
      <c r="I161" s="318" t="e">
        <f t="shared" si="61"/>
        <v>#DIV/0!</v>
      </c>
      <c r="J161" s="164" t="e">
        <f t="shared" si="61"/>
        <v>#DIV/0!</v>
      </c>
      <c r="K161" s="173"/>
    </row>
    <row r="162" spans="1:11" ht="45" x14ac:dyDescent="0.25">
      <c r="A162" s="171"/>
      <c r="B162" s="157" t="s">
        <v>202</v>
      </c>
      <c r="C162" s="172"/>
      <c r="D162" s="171"/>
      <c r="E162" s="165"/>
      <c r="F162" s="165"/>
      <c r="G162" s="165"/>
      <c r="H162" s="165"/>
      <c r="I162" s="320"/>
      <c r="J162" s="165"/>
    </row>
    <row r="163" spans="1:11" x14ac:dyDescent="0.25">
      <c r="A163" s="418"/>
      <c r="B163" s="422" t="s">
        <v>203</v>
      </c>
      <c r="C163" s="172" t="s">
        <v>1634</v>
      </c>
      <c r="D163" s="415" t="s">
        <v>1268</v>
      </c>
      <c r="E163" s="165">
        <v>5</v>
      </c>
      <c r="F163" s="165">
        <v>5</v>
      </c>
      <c r="G163" s="165">
        <v>5</v>
      </c>
      <c r="H163" s="165">
        <v>5</v>
      </c>
      <c r="I163" s="320">
        <v>5</v>
      </c>
      <c r="J163" s="165">
        <v>5</v>
      </c>
    </row>
    <row r="164" spans="1:11" x14ac:dyDescent="0.25">
      <c r="A164" s="419"/>
      <c r="B164" s="423"/>
      <c r="C164" s="172" t="s">
        <v>1634</v>
      </c>
      <c r="D164" s="416"/>
      <c r="E164" s="165">
        <v>15</v>
      </c>
      <c r="F164" s="165">
        <v>14</v>
      </c>
      <c r="G164" s="165">
        <v>13</v>
      </c>
      <c r="H164" s="165">
        <v>14</v>
      </c>
      <c r="I164" s="320">
        <v>14</v>
      </c>
      <c r="J164" s="165">
        <v>13</v>
      </c>
    </row>
    <row r="165" spans="1:11" x14ac:dyDescent="0.25">
      <c r="A165" s="419"/>
      <c r="B165" s="423"/>
      <c r="C165" s="172" t="s">
        <v>1634</v>
      </c>
      <c r="D165" s="415" t="s">
        <v>1268</v>
      </c>
      <c r="E165" s="165">
        <v>0</v>
      </c>
      <c r="F165" s="165">
        <v>0</v>
      </c>
      <c r="G165" s="165">
        <v>0</v>
      </c>
      <c r="H165" s="165">
        <v>0</v>
      </c>
      <c r="I165" s="320">
        <v>0</v>
      </c>
      <c r="J165" s="165">
        <v>0</v>
      </c>
    </row>
    <row r="166" spans="1:11" x14ac:dyDescent="0.25">
      <c r="A166" s="420"/>
      <c r="B166" s="424"/>
      <c r="C166" s="172" t="s">
        <v>1634</v>
      </c>
      <c r="D166" s="416"/>
      <c r="E166" s="165">
        <v>0</v>
      </c>
      <c r="F166" s="165">
        <v>0</v>
      </c>
      <c r="G166" s="165">
        <v>0</v>
      </c>
      <c r="H166" s="165">
        <v>0</v>
      </c>
      <c r="I166" s="320">
        <v>0</v>
      </c>
      <c r="J166" s="165">
        <v>0</v>
      </c>
    </row>
    <row r="167" spans="1:11" x14ac:dyDescent="0.25">
      <c r="A167" s="418"/>
      <c r="B167" s="422" t="s">
        <v>68</v>
      </c>
      <c r="C167" s="172" t="s">
        <v>1634</v>
      </c>
      <c r="D167" s="415" t="s">
        <v>1268</v>
      </c>
      <c r="E167" s="165">
        <v>5</v>
      </c>
      <c r="F167" s="165">
        <v>5</v>
      </c>
      <c r="G167" s="165">
        <v>5</v>
      </c>
      <c r="H167" s="165">
        <v>5</v>
      </c>
      <c r="I167" s="320">
        <v>5</v>
      </c>
      <c r="J167" s="165">
        <v>5</v>
      </c>
    </row>
    <row r="168" spans="1:11" x14ac:dyDescent="0.25">
      <c r="A168" s="419"/>
      <c r="B168" s="423"/>
      <c r="C168" s="172" t="s">
        <v>1634</v>
      </c>
      <c r="D168" s="416"/>
      <c r="E168" s="165">
        <v>17</v>
      </c>
      <c r="F168" s="165">
        <v>16</v>
      </c>
      <c r="G168" s="165">
        <v>14</v>
      </c>
      <c r="H168" s="165">
        <v>14</v>
      </c>
      <c r="I168" s="320">
        <v>14</v>
      </c>
      <c r="J168" s="165">
        <v>13</v>
      </c>
    </row>
    <row r="169" spans="1:11" x14ac:dyDescent="0.25">
      <c r="A169" s="419"/>
      <c r="B169" s="423"/>
      <c r="C169" s="172" t="s">
        <v>1634</v>
      </c>
      <c r="D169" s="415" t="s">
        <v>1268</v>
      </c>
      <c r="E169" s="165">
        <v>0</v>
      </c>
      <c r="F169" s="165">
        <v>0</v>
      </c>
      <c r="G169" s="165">
        <v>0</v>
      </c>
      <c r="H169" s="165">
        <v>0</v>
      </c>
      <c r="I169" s="320">
        <v>0</v>
      </c>
      <c r="J169" s="165">
        <v>0</v>
      </c>
    </row>
    <row r="170" spans="1:11" x14ac:dyDescent="0.25">
      <c r="A170" s="420"/>
      <c r="B170" s="424"/>
      <c r="C170" s="172" t="s">
        <v>1634</v>
      </c>
      <c r="D170" s="416"/>
      <c r="E170" s="165">
        <v>0</v>
      </c>
      <c r="F170" s="165">
        <v>0</v>
      </c>
      <c r="G170" s="165">
        <v>0</v>
      </c>
      <c r="H170" s="165">
        <v>0</v>
      </c>
      <c r="I170" s="320">
        <v>0</v>
      </c>
      <c r="J170" s="165">
        <v>0</v>
      </c>
    </row>
    <row r="171" spans="1:11" x14ac:dyDescent="0.25">
      <c r="A171" s="418"/>
      <c r="B171" s="422" t="s">
        <v>204</v>
      </c>
      <c r="C171" s="172" t="s">
        <v>1634</v>
      </c>
      <c r="D171" s="415" t="s">
        <v>1268</v>
      </c>
      <c r="E171" s="165">
        <v>5</v>
      </c>
      <c r="F171" s="165">
        <v>5</v>
      </c>
      <c r="G171" s="165">
        <v>5</v>
      </c>
      <c r="H171" s="165">
        <v>5</v>
      </c>
      <c r="I171" s="320">
        <v>5</v>
      </c>
      <c r="J171" s="165">
        <v>5</v>
      </c>
    </row>
    <row r="172" spans="1:11" x14ac:dyDescent="0.25">
      <c r="A172" s="419"/>
      <c r="B172" s="423"/>
      <c r="C172" s="172" t="s">
        <v>1634</v>
      </c>
      <c r="D172" s="416"/>
      <c r="E172" s="165">
        <v>16</v>
      </c>
      <c r="F172" s="165">
        <v>15</v>
      </c>
      <c r="G172" s="165">
        <v>14</v>
      </c>
      <c r="H172" s="165">
        <v>14</v>
      </c>
      <c r="I172" s="320">
        <v>14</v>
      </c>
      <c r="J172" s="165">
        <v>13</v>
      </c>
    </row>
    <row r="173" spans="1:11" x14ac:dyDescent="0.25">
      <c r="A173" s="419"/>
      <c r="B173" s="423"/>
      <c r="C173" s="172" t="s">
        <v>1634</v>
      </c>
      <c r="D173" s="415" t="s">
        <v>1268</v>
      </c>
      <c r="E173" s="165">
        <v>0</v>
      </c>
      <c r="F173" s="165">
        <v>0</v>
      </c>
      <c r="G173" s="165">
        <v>0</v>
      </c>
      <c r="H173" s="165">
        <v>0</v>
      </c>
      <c r="I173" s="320">
        <v>0</v>
      </c>
      <c r="J173" s="165">
        <v>0</v>
      </c>
    </row>
    <row r="174" spans="1:11" x14ac:dyDescent="0.25">
      <c r="A174" s="420"/>
      <c r="B174" s="424"/>
      <c r="C174" s="172" t="s">
        <v>1634</v>
      </c>
      <c r="D174" s="416"/>
      <c r="E174" s="165">
        <v>0</v>
      </c>
      <c r="F174" s="165">
        <v>0</v>
      </c>
      <c r="G174" s="165">
        <v>0</v>
      </c>
      <c r="H174" s="165">
        <v>0</v>
      </c>
      <c r="I174" s="320">
        <v>0</v>
      </c>
      <c r="J174" s="165">
        <v>0</v>
      </c>
    </row>
    <row r="175" spans="1:11" ht="30" x14ac:dyDescent="0.25">
      <c r="A175" s="171"/>
      <c r="B175" s="157" t="s">
        <v>205</v>
      </c>
      <c r="C175" s="172"/>
      <c r="D175" s="171"/>
      <c r="E175" s="165"/>
      <c r="F175" s="165"/>
      <c r="G175" s="165"/>
      <c r="H175" s="165"/>
      <c r="I175" s="320"/>
      <c r="J175" s="165"/>
    </row>
    <row r="176" spans="1:11" x14ac:dyDescent="0.25">
      <c r="A176" s="171"/>
      <c r="B176" s="157" t="s">
        <v>203</v>
      </c>
      <c r="C176" s="172" t="s">
        <v>1633</v>
      </c>
      <c r="D176" s="415" t="s">
        <v>1268</v>
      </c>
      <c r="E176" s="165">
        <v>0</v>
      </c>
      <c r="F176" s="165">
        <v>0</v>
      </c>
      <c r="G176" s="165">
        <v>0</v>
      </c>
      <c r="H176" s="165">
        <v>0</v>
      </c>
      <c r="I176" s="320">
        <v>0</v>
      </c>
      <c r="J176" s="165">
        <v>0</v>
      </c>
    </row>
    <row r="177" spans="1:11" x14ac:dyDescent="0.25">
      <c r="A177" s="171"/>
      <c r="B177" s="157" t="s">
        <v>68</v>
      </c>
      <c r="C177" s="172" t="s">
        <v>1633</v>
      </c>
      <c r="D177" s="416"/>
      <c r="E177" s="165">
        <v>0</v>
      </c>
      <c r="F177" s="165">
        <v>0</v>
      </c>
      <c r="G177" s="165">
        <v>0</v>
      </c>
      <c r="H177" s="165">
        <v>0</v>
      </c>
      <c r="I177" s="320">
        <v>0</v>
      </c>
      <c r="J177" s="165">
        <v>0</v>
      </c>
    </row>
    <row r="178" spans="1:11" x14ac:dyDescent="0.25">
      <c r="A178" s="171"/>
      <c r="B178" s="157" t="s">
        <v>204</v>
      </c>
      <c r="C178" s="172" t="s">
        <v>1638</v>
      </c>
      <c r="D178" s="417"/>
      <c r="E178" s="165">
        <v>0</v>
      </c>
      <c r="F178" s="165">
        <v>0</v>
      </c>
      <c r="G178" s="165">
        <v>0</v>
      </c>
      <c r="H178" s="165">
        <v>0</v>
      </c>
      <c r="I178" s="320">
        <v>0</v>
      </c>
      <c r="J178" s="165">
        <v>0</v>
      </c>
    </row>
    <row r="179" spans="1:11" x14ac:dyDescent="0.25">
      <c r="A179" s="418"/>
      <c r="B179" s="422" t="s">
        <v>206</v>
      </c>
      <c r="C179" s="172" t="s">
        <v>1649</v>
      </c>
      <c r="D179" s="415" t="s">
        <v>1268</v>
      </c>
      <c r="E179" s="165">
        <v>5</v>
      </c>
      <c r="F179" s="165">
        <v>5</v>
      </c>
      <c r="G179" s="165">
        <v>5</v>
      </c>
      <c r="H179" s="165">
        <v>5</v>
      </c>
      <c r="I179" s="320">
        <v>5</v>
      </c>
      <c r="J179" s="165">
        <v>5</v>
      </c>
    </row>
    <row r="180" spans="1:11" x14ac:dyDescent="0.25">
      <c r="A180" s="419"/>
      <c r="B180" s="423"/>
      <c r="C180" s="172" t="s">
        <v>1634</v>
      </c>
      <c r="D180" s="416"/>
      <c r="E180" s="165">
        <v>18</v>
      </c>
      <c r="F180" s="165">
        <v>17</v>
      </c>
      <c r="G180" s="165">
        <v>16</v>
      </c>
      <c r="H180" s="165">
        <v>15</v>
      </c>
      <c r="I180" s="320">
        <v>14</v>
      </c>
      <c r="J180" s="165">
        <v>13</v>
      </c>
    </row>
    <row r="181" spans="1:11" x14ac:dyDescent="0.25">
      <c r="A181" s="419"/>
      <c r="B181" s="423"/>
      <c r="C181" s="172" t="s">
        <v>1649</v>
      </c>
      <c r="D181" s="415" t="s">
        <v>1268</v>
      </c>
      <c r="E181" s="165">
        <v>0</v>
      </c>
      <c r="F181" s="165">
        <v>0</v>
      </c>
      <c r="G181" s="165">
        <v>0</v>
      </c>
      <c r="H181" s="165">
        <v>0</v>
      </c>
      <c r="I181" s="320">
        <v>0</v>
      </c>
      <c r="J181" s="165">
        <v>0</v>
      </c>
    </row>
    <row r="182" spans="1:11" x14ac:dyDescent="0.25">
      <c r="A182" s="420"/>
      <c r="B182" s="424"/>
      <c r="C182" s="172" t="s">
        <v>1649</v>
      </c>
      <c r="D182" s="416"/>
      <c r="E182" s="165">
        <v>0</v>
      </c>
      <c r="F182" s="165">
        <v>0</v>
      </c>
      <c r="G182" s="165">
        <v>0</v>
      </c>
      <c r="H182" s="165">
        <v>0</v>
      </c>
      <c r="I182" s="320">
        <v>0</v>
      </c>
      <c r="J182" s="165">
        <v>0</v>
      </c>
    </row>
    <row r="183" spans="1:11" ht="60" x14ac:dyDescent="0.25">
      <c r="A183" s="171"/>
      <c r="B183" s="157" t="s">
        <v>207</v>
      </c>
      <c r="C183" s="172" t="s">
        <v>208</v>
      </c>
      <c r="D183" s="172" t="s">
        <v>1268</v>
      </c>
      <c r="E183" s="165">
        <v>0</v>
      </c>
      <c r="F183" s="165">
        <v>0</v>
      </c>
      <c r="G183" s="165">
        <v>0</v>
      </c>
      <c r="H183" s="165">
        <v>0</v>
      </c>
      <c r="I183" s="320">
        <v>0</v>
      </c>
      <c r="J183" s="165">
        <v>0</v>
      </c>
    </row>
    <row r="184" spans="1:11" ht="45" customHeight="1" x14ac:dyDescent="0.25">
      <c r="A184" s="172" t="s">
        <v>211</v>
      </c>
      <c r="B184" s="157" t="s">
        <v>219</v>
      </c>
      <c r="C184" s="171"/>
      <c r="D184" s="172"/>
      <c r="E184" s="210"/>
      <c r="F184" s="210"/>
      <c r="G184" s="210"/>
      <c r="H184" s="210"/>
      <c r="I184" s="328"/>
      <c r="J184" s="210"/>
      <c r="K184" s="173" t="s">
        <v>218</v>
      </c>
    </row>
    <row r="185" spans="1:11" x14ac:dyDescent="0.25">
      <c r="A185" s="184"/>
      <c r="B185" s="211" t="s">
        <v>186</v>
      </c>
      <c r="C185" s="171"/>
      <c r="D185" s="172"/>
      <c r="E185" s="164"/>
      <c r="F185" s="164"/>
      <c r="G185" s="164"/>
      <c r="H185" s="164"/>
      <c r="I185" s="318"/>
      <c r="J185" s="164"/>
      <c r="K185" s="173"/>
    </row>
    <row r="186" spans="1:11" x14ac:dyDescent="0.25">
      <c r="A186" s="184"/>
      <c r="B186" s="185" t="s">
        <v>1333</v>
      </c>
      <c r="C186" s="171"/>
      <c r="D186" s="172" t="s">
        <v>1268</v>
      </c>
      <c r="E186" s="164">
        <f t="shared" ref="E186:J186" si="62">(E191+E192+E199)/(E201+E203)*100</f>
        <v>18.458740622868834</v>
      </c>
      <c r="F186" s="164">
        <f t="shared" si="62"/>
        <v>21.122262773722628</v>
      </c>
      <c r="G186" s="164">
        <f t="shared" si="62"/>
        <v>22.846943328871038</v>
      </c>
      <c r="H186" s="164">
        <f t="shared" si="62"/>
        <v>27.066161728670085</v>
      </c>
      <c r="I186" s="318">
        <f t="shared" si="62"/>
        <v>28.172757475083053</v>
      </c>
      <c r="J186" s="164">
        <f t="shared" si="62"/>
        <v>28.23581560283688</v>
      </c>
      <c r="K186" s="173"/>
    </row>
    <row r="187" spans="1:11" x14ac:dyDescent="0.25">
      <c r="A187" s="184"/>
      <c r="B187" s="185" t="s">
        <v>1335</v>
      </c>
      <c r="C187" s="171"/>
      <c r="D187" s="172" t="s">
        <v>1268</v>
      </c>
      <c r="E187" s="164" t="e">
        <f t="shared" ref="E187:J187" si="63">(E193+E194)/(E202)*100</f>
        <v>#DIV/0!</v>
      </c>
      <c r="F187" s="164" t="e">
        <f t="shared" si="63"/>
        <v>#DIV/0!</v>
      </c>
      <c r="G187" s="164" t="e">
        <f t="shared" si="63"/>
        <v>#DIV/0!</v>
      </c>
      <c r="H187" s="164" t="e">
        <f t="shared" si="63"/>
        <v>#DIV/0!</v>
      </c>
      <c r="I187" s="318" t="e">
        <f t="shared" si="63"/>
        <v>#DIV/0!</v>
      </c>
      <c r="J187" s="164" t="e">
        <f t="shared" si="63"/>
        <v>#DIV/0!</v>
      </c>
      <c r="K187" s="173"/>
    </row>
    <row r="188" spans="1:11" x14ac:dyDescent="0.25">
      <c r="A188" s="184"/>
      <c r="B188" s="211" t="s">
        <v>220</v>
      </c>
      <c r="C188" s="171"/>
      <c r="D188" s="172"/>
      <c r="E188" s="164"/>
      <c r="F188" s="164"/>
      <c r="G188" s="164"/>
      <c r="H188" s="164"/>
      <c r="I188" s="318"/>
      <c r="J188" s="164"/>
      <c r="K188" s="173"/>
    </row>
    <row r="189" spans="1:11" x14ac:dyDescent="0.25">
      <c r="A189" s="184"/>
      <c r="B189" s="185" t="s">
        <v>1333</v>
      </c>
      <c r="C189" s="171"/>
      <c r="D189" s="172" t="s">
        <v>1268</v>
      </c>
      <c r="E189" s="164">
        <f t="shared" ref="E189:J189" si="64">(E195+E196+E200)/(E201+E203)*100</f>
        <v>12.752898385996817</v>
      </c>
      <c r="F189" s="164">
        <f t="shared" si="64"/>
        <v>14.416058394160583</v>
      </c>
      <c r="G189" s="164">
        <f t="shared" si="64"/>
        <v>13.989290495314592</v>
      </c>
      <c r="H189" s="164">
        <f t="shared" si="64"/>
        <v>17.39808420583649</v>
      </c>
      <c r="I189" s="318">
        <f t="shared" si="64"/>
        <v>18.095238095238095</v>
      </c>
      <c r="J189" s="164">
        <f t="shared" si="64"/>
        <v>17.974290780141843</v>
      </c>
      <c r="K189" s="173"/>
    </row>
    <row r="190" spans="1:11" x14ac:dyDescent="0.25">
      <c r="A190" s="184"/>
      <c r="B190" s="185" t="s">
        <v>1335</v>
      </c>
      <c r="C190" s="171"/>
      <c r="D190" s="172" t="s">
        <v>1268</v>
      </c>
      <c r="E190" s="164" t="e">
        <f t="shared" ref="E190:J190" si="65">(E197+E198)/(E202)*100</f>
        <v>#DIV/0!</v>
      </c>
      <c r="F190" s="164" t="e">
        <f t="shared" si="65"/>
        <v>#DIV/0!</v>
      </c>
      <c r="G190" s="164" t="e">
        <f t="shared" si="65"/>
        <v>#DIV/0!</v>
      </c>
      <c r="H190" s="164" t="e">
        <f t="shared" si="65"/>
        <v>#DIV/0!</v>
      </c>
      <c r="I190" s="318" t="e">
        <f t="shared" si="65"/>
        <v>#DIV/0!</v>
      </c>
      <c r="J190" s="164" t="e">
        <f t="shared" si="65"/>
        <v>#DIV/0!</v>
      </c>
      <c r="K190" s="173"/>
    </row>
    <row r="191" spans="1:11" ht="30" customHeight="1" x14ac:dyDescent="0.25">
      <c r="A191" s="418"/>
      <c r="B191" s="422" t="s">
        <v>212</v>
      </c>
      <c r="C191" s="172" t="s">
        <v>1649</v>
      </c>
      <c r="D191" s="415" t="s">
        <v>1268</v>
      </c>
      <c r="E191" s="190">
        <v>223</v>
      </c>
      <c r="F191" s="190">
        <v>254</v>
      </c>
      <c r="G191" s="190">
        <v>352</v>
      </c>
      <c r="H191" s="190">
        <v>299</v>
      </c>
      <c r="I191" s="330">
        <v>366</v>
      </c>
      <c r="J191" s="190">
        <v>400</v>
      </c>
    </row>
    <row r="192" spans="1:11" x14ac:dyDescent="0.25">
      <c r="A192" s="419"/>
      <c r="B192" s="423"/>
      <c r="C192" s="172" t="s">
        <v>1649</v>
      </c>
      <c r="D192" s="416"/>
      <c r="E192" s="190">
        <v>589</v>
      </c>
      <c r="F192" s="190">
        <v>672</v>
      </c>
      <c r="G192" s="190">
        <v>672</v>
      </c>
      <c r="H192" s="190">
        <v>916</v>
      </c>
      <c r="I192" s="330">
        <v>906</v>
      </c>
      <c r="J192" s="190">
        <v>874</v>
      </c>
    </row>
    <row r="193" spans="1:11" x14ac:dyDescent="0.25">
      <c r="A193" s="419"/>
      <c r="B193" s="423"/>
      <c r="C193" s="172" t="s">
        <v>1649</v>
      </c>
      <c r="D193" s="415" t="s">
        <v>1268</v>
      </c>
      <c r="E193" s="190">
        <v>0</v>
      </c>
      <c r="F193" s="190">
        <v>0</v>
      </c>
      <c r="G193" s="190">
        <v>0</v>
      </c>
      <c r="H193" s="190">
        <v>0</v>
      </c>
      <c r="I193" s="330">
        <v>0</v>
      </c>
      <c r="J193" s="190">
        <v>0</v>
      </c>
      <c r="K193" s="259"/>
    </row>
    <row r="194" spans="1:11" x14ac:dyDescent="0.25">
      <c r="A194" s="420"/>
      <c r="B194" s="424"/>
      <c r="C194" s="172" t="s">
        <v>1634</v>
      </c>
      <c r="D194" s="416"/>
      <c r="E194" s="190">
        <v>0</v>
      </c>
      <c r="F194" s="190">
        <v>0</v>
      </c>
      <c r="G194" s="190">
        <v>0</v>
      </c>
      <c r="H194" s="190">
        <v>0</v>
      </c>
      <c r="I194" s="330">
        <v>0</v>
      </c>
      <c r="J194" s="190">
        <v>0</v>
      </c>
      <c r="K194" s="259"/>
    </row>
    <row r="195" spans="1:11" ht="45" customHeight="1" x14ac:dyDescent="0.25">
      <c r="A195" s="418"/>
      <c r="B195" s="422" t="s">
        <v>213</v>
      </c>
      <c r="C195" s="189" t="s">
        <v>1649</v>
      </c>
      <c r="D195" s="415" t="s">
        <v>1268</v>
      </c>
      <c r="E195" s="190">
        <v>126</v>
      </c>
      <c r="F195" s="190">
        <v>215</v>
      </c>
      <c r="G195" s="190">
        <v>136</v>
      </c>
      <c r="H195" s="190">
        <v>235</v>
      </c>
      <c r="I195" s="330">
        <v>242</v>
      </c>
      <c r="J195" s="190">
        <v>254</v>
      </c>
      <c r="K195" s="259"/>
    </row>
    <row r="196" spans="1:11" x14ac:dyDescent="0.25">
      <c r="A196" s="419"/>
      <c r="B196" s="423"/>
      <c r="C196" s="189" t="s">
        <v>1649</v>
      </c>
      <c r="D196" s="416"/>
      <c r="E196" s="190">
        <v>435</v>
      </c>
      <c r="F196" s="190">
        <v>417</v>
      </c>
      <c r="G196" s="190">
        <v>491</v>
      </c>
      <c r="H196" s="190">
        <v>546</v>
      </c>
      <c r="I196" s="330">
        <v>575</v>
      </c>
      <c r="J196" s="190">
        <v>557</v>
      </c>
      <c r="K196" s="259"/>
    </row>
    <row r="197" spans="1:11" x14ac:dyDescent="0.25">
      <c r="A197" s="419"/>
      <c r="B197" s="423"/>
      <c r="C197" s="189" t="s">
        <v>1649</v>
      </c>
      <c r="D197" s="415" t="s">
        <v>1268</v>
      </c>
      <c r="E197" s="190">
        <v>0</v>
      </c>
      <c r="F197" s="190">
        <v>0</v>
      </c>
      <c r="G197" s="190">
        <v>0</v>
      </c>
      <c r="H197" s="190">
        <v>0</v>
      </c>
      <c r="I197" s="330">
        <v>0</v>
      </c>
      <c r="J197" s="190">
        <v>0</v>
      </c>
      <c r="K197" s="259"/>
    </row>
    <row r="198" spans="1:11" x14ac:dyDescent="0.25">
      <c r="A198" s="420"/>
      <c r="B198" s="424"/>
      <c r="C198" s="189" t="s">
        <v>1649</v>
      </c>
      <c r="D198" s="416"/>
      <c r="E198" s="190">
        <v>0</v>
      </c>
      <c r="F198" s="190">
        <v>0</v>
      </c>
      <c r="G198" s="190">
        <v>0</v>
      </c>
      <c r="H198" s="190">
        <v>0</v>
      </c>
      <c r="I198" s="330">
        <v>0</v>
      </c>
      <c r="J198" s="190">
        <v>0</v>
      </c>
      <c r="K198" s="259"/>
    </row>
    <row r="199" spans="1:11" ht="60" x14ac:dyDescent="0.25">
      <c r="A199" s="160"/>
      <c r="B199" s="157" t="s">
        <v>214</v>
      </c>
      <c r="C199" s="189" t="s">
        <v>215</v>
      </c>
      <c r="D199" s="415" t="s">
        <v>1268</v>
      </c>
      <c r="E199" s="190">
        <v>0</v>
      </c>
      <c r="F199" s="190">
        <v>0</v>
      </c>
      <c r="G199" s="190">
        <v>0</v>
      </c>
      <c r="H199" s="190">
        <v>0</v>
      </c>
      <c r="I199" s="330">
        <v>0</v>
      </c>
      <c r="J199" s="190">
        <v>0</v>
      </c>
      <c r="K199" s="259"/>
    </row>
    <row r="200" spans="1:11" ht="60" x14ac:dyDescent="0.25">
      <c r="A200" s="160"/>
      <c r="B200" s="157" t="s">
        <v>216</v>
      </c>
      <c r="C200" s="189" t="s">
        <v>1560</v>
      </c>
      <c r="D200" s="416"/>
      <c r="E200" s="181">
        <v>0</v>
      </c>
      <c r="F200" s="181">
        <v>0</v>
      </c>
      <c r="G200" s="181">
        <v>0</v>
      </c>
      <c r="H200" s="181">
        <v>0</v>
      </c>
      <c r="I200" s="319">
        <v>0</v>
      </c>
      <c r="J200" s="181">
        <v>0</v>
      </c>
    </row>
    <row r="201" spans="1:11" ht="30" x14ac:dyDescent="0.25">
      <c r="A201" s="418"/>
      <c r="B201" s="422" t="s">
        <v>163</v>
      </c>
      <c r="C201" s="172" t="s">
        <v>1650</v>
      </c>
      <c r="D201" s="415" t="s">
        <v>1076</v>
      </c>
      <c r="E201" s="181">
        <v>4352</v>
      </c>
      <c r="F201" s="181">
        <v>4358</v>
      </c>
      <c r="G201" s="181">
        <v>4453</v>
      </c>
      <c r="H201" s="181">
        <v>4456</v>
      </c>
      <c r="I201" s="319">
        <v>4489</v>
      </c>
      <c r="J201" s="181">
        <v>4488</v>
      </c>
    </row>
    <row r="202" spans="1:11" ht="66.75" customHeight="1" x14ac:dyDescent="0.25">
      <c r="A202" s="420"/>
      <c r="B202" s="424"/>
      <c r="C202" s="172" t="s">
        <v>1651</v>
      </c>
      <c r="D202" s="416"/>
      <c r="E202" s="181">
        <v>0</v>
      </c>
      <c r="F202" s="181">
        <v>0</v>
      </c>
      <c r="G202" s="181">
        <v>0</v>
      </c>
      <c r="H202" s="181">
        <v>0</v>
      </c>
      <c r="I202" s="319">
        <v>0</v>
      </c>
      <c r="J202" s="181">
        <v>0</v>
      </c>
    </row>
    <row r="203" spans="1:11" ht="30" x14ac:dyDescent="0.25">
      <c r="A203" s="160"/>
      <c r="B203" s="157" t="s">
        <v>217</v>
      </c>
      <c r="C203" s="172" t="s">
        <v>1638</v>
      </c>
      <c r="D203" s="172" t="s">
        <v>1076</v>
      </c>
      <c r="E203" s="181">
        <v>47</v>
      </c>
      <c r="F203" s="181">
        <v>26</v>
      </c>
      <c r="G203" s="181">
        <v>29</v>
      </c>
      <c r="H203" s="181">
        <v>33</v>
      </c>
      <c r="I203" s="319">
        <v>26</v>
      </c>
      <c r="J203" s="181">
        <v>24</v>
      </c>
    </row>
    <row r="204" spans="1:11" ht="75" x14ac:dyDescent="0.25">
      <c r="A204" s="189" t="s">
        <v>222</v>
      </c>
      <c r="B204" s="168" t="s">
        <v>221</v>
      </c>
      <c r="C204" s="193"/>
      <c r="D204" s="189"/>
      <c r="E204" s="161"/>
      <c r="F204" s="161"/>
      <c r="G204" s="161"/>
      <c r="H204" s="161"/>
      <c r="I204" s="329"/>
      <c r="J204" s="161"/>
      <c r="K204" s="173" t="s">
        <v>218</v>
      </c>
    </row>
    <row r="205" spans="1:11" x14ac:dyDescent="0.25">
      <c r="A205" s="189"/>
      <c r="B205" s="196" t="s">
        <v>1333</v>
      </c>
      <c r="C205" s="193"/>
      <c r="D205" s="189" t="s">
        <v>9</v>
      </c>
      <c r="E205" s="194">
        <f t="shared" ref="E205:J205" si="66">(E207+E208+E211)/(E212+E213+E216)*100</f>
        <v>21.739130434782609</v>
      </c>
      <c r="F205" s="194">
        <f t="shared" si="66"/>
        <v>27.27272727272727</v>
      </c>
      <c r="G205" s="194">
        <f t="shared" si="66"/>
        <v>47.619047619047613</v>
      </c>
      <c r="H205" s="194">
        <f t="shared" si="66"/>
        <v>75</v>
      </c>
      <c r="I205" s="325">
        <f t="shared" si="66"/>
        <v>100</v>
      </c>
      <c r="J205" s="194">
        <f t="shared" si="66"/>
        <v>100</v>
      </c>
      <c r="K205" s="173"/>
    </row>
    <row r="206" spans="1:11" x14ac:dyDescent="0.25">
      <c r="A206" s="189"/>
      <c r="B206" s="196" t="s">
        <v>1335</v>
      </c>
      <c r="C206" s="193"/>
      <c r="D206" s="189" t="s">
        <v>9</v>
      </c>
      <c r="E206" s="194" t="e">
        <f t="shared" ref="E206:J206" si="67">(E209+E210)/(E214+E215)*100</f>
        <v>#DIV/0!</v>
      </c>
      <c r="F206" s="194" t="e">
        <f t="shared" si="67"/>
        <v>#DIV/0!</v>
      </c>
      <c r="G206" s="194" t="e">
        <f t="shared" si="67"/>
        <v>#DIV/0!</v>
      </c>
      <c r="H206" s="194" t="e">
        <f t="shared" si="67"/>
        <v>#DIV/0!</v>
      </c>
      <c r="I206" s="325" t="e">
        <f t="shared" si="67"/>
        <v>#DIV/0!</v>
      </c>
      <c r="J206" s="194" t="e">
        <f t="shared" si="67"/>
        <v>#DIV/0!</v>
      </c>
      <c r="K206" s="173"/>
    </row>
    <row r="207" spans="1:11" ht="30" customHeight="1" x14ac:dyDescent="0.25">
      <c r="A207" s="418" t="s">
        <v>222</v>
      </c>
      <c r="B207" s="422" t="s">
        <v>223</v>
      </c>
      <c r="C207" s="172" t="s">
        <v>1339</v>
      </c>
      <c r="D207" s="415" t="s">
        <v>1268</v>
      </c>
      <c r="E207" s="165">
        <v>3</v>
      </c>
      <c r="F207" s="165">
        <v>3</v>
      </c>
      <c r="G207" s="165">
        <v>4</v>
      </c>
      <c r="H207" s="165">
        <v>4</v>
      </c>
      <c r="I207" s="320">
        <v>5</v>
      </c>
      <c r="J207" s="165">
        <v>5</v>
      </c>
    </row>
    <row r="208" spans="1:11" x14ac:dyDescent="0.25">
      <c r="A208" s="419"/>
      <c r="B208" s="423"/>
      <c r="C208" s="172" t="s">
        <v>1649</v>
      </c>
      <c r="D208" s="416"/>
      <c r="E208" s="165">
        <v>2</v>
      </c>
      <c r="F208" s="165">
        <v>3</v>
      </c>
      <c r="G208" s="165">
        <v>6</v>
      </c>
      <c r="H208" s="165">
        <v>11</v>
      </c>
      <c r="I208" s="320">
        <v>14</v>
      </c>
      <c r="J208" s="165">
        <v>13</v>
      </c>
    </row>
    <row r="209" spans="1:11" x14ac:dyDescent="0.25">
      <c r="A209" s="419"/>
      <c r="B209" s="423"/>
      <c r="C209" s="172" t="s">
        <v>1649</v>
      </c>
      <c r="D209" s="415" t="s">
        <v>1268</v>
      </c>
      <c r="E209" s="165">
        <v>0</v>
      </c>
      <c r="F209" s="165">
        <v>0</v>
      </c>
      <c r="G209" s="165">
        <v>0</v>
      </c>
      <c r="H209" s="165">
        <v>0</v>
      </c>
      <c r="I209" s="320">
        <v>0</v>
      </c>
      <c r="J209" s="165">
        <v>0</v>
      </c>
    </row>
    <row r="210" spans="1:11" x14ac:dyDescent="0.25">
      <c r="A210" s="420"/>
      <c r="B210" s="424"/>
      <c r="C210" s="172" t="s">
        <v>1649</v>
      </c>
      <c r="D210" s="416"/>
      <c r="E210" s="165">
        <v>0</v>
      </c>
      <c r="F210" s="165">
        <v>0</v>
      </c>
      <c r="G210" s="165">
        <v>0</v>
      </c>
      <c r="H210" s="165">
        <v>0</v>
      </c>
      <c r="I210" s="320">
        <v>0</v>
      </c>
      <c r="J210" s="165">
        <v>0</v>
      </c>
    </row>
    <row r="211" spans="1:11" ht="48.75" customHeight="1" x14ac:dyDescent="0.25">
      <c r="A211" s="171"/>
      <c r="B211" s="157" t="s">
        <v>224</v>
      </c>
      <c r="C211" s="172" t="s">
        <v>225</v>
      </c>
      <c r="D211" s="172" t="s">
        <v>1268</v>
      </c>
      <c r="E211" s="165">
        <v>0</v>
      </c>
      <c r="F211" s="165">
        <v>0</v>
      </c>
      <c r="G211" s="165">
        <v>0</v>
      </c>
      <c r="H211" s="165">
        <v>0</v>
      </c>
      <c r="I211" s="320">
        <v>0</v>
      </c>
      <c r="J211" s="165">
        <v>0</v>
      </c>
    </row>
    <row r="212" spans="1:11" ht="16.5" customHeight="1" x14ac:dyDescent="0.25">
      <c r="A212" s="418"/>
      <c r="B212" s="422" t="s">
        <v>206</v>
      </c>
      <c r="C212" s="172" t="s">
        <v>1649</v>
      </c>
      <c r="D212" s="415" t="s">
        <v>1268</v>
      </c>
      <c r="E212" s="165">
        <v>5</v>
      </c>
      <c r="F212" s="165">
        <v>5</v>
      </c>
      <c r="G212" s="165">
        <v>5</v>
      </c>
      <c r="H212" s="165">
        <v>5</v>
      </c>
      <c r="I212" s="320">
        <v>5</v>
      </c>
      <c r="J212" s="165">
        <v>5</v>
      </c>
    </row>
    <row r="213" spans="1:11" ht="20.25" customHeight="1" x14ac:dyDescent="0.25">
      <c r="A213" s="419"/>
      <c r="B213" s="423"/>
      <c r="C213" s="172" t="s">
        <v>1634</v>
      </c>
      <c r="D213" s="416"/>
      <c r="E213" s="165">
        <v>18</v>
      </c>
      <c r="F213" s="165">
        <v>17</v>
      </c>
      <c r="G213" s="165">
        <v>16</v>
      </c>
      <c r="H213" s="165">
        <v>15</v>
      </c>
      <c r="I213" s="320">
        <v>14</v>
      </c>
      <c r="J213" s="165">
        <v>13</v>
      </c>
    </row>
    <row r="214" spans="1:11" x14ac:dyDescent="0.25">
      <c r="A214" s="419"/>
      <c r="B214" s="423"/>
      <c r="C214" s="172" t="s">
        <v>1634</v>
      </c>
      <c r="D214" s="415" t="s">
        <v>1268</v>
      </c>
      <c r="E214" s="165">
        <v>0</v>
      </c>
      <c r="F214" s="165">
        <v>0</v>
      </c>
      <c r="G214" s="165">
        <v>0</v>
      </c>
      <c r="H214" s="165">
        <v>0</v>
      </c>
      <c r="I214" s="320">
        <v>0</v>
      </c>
      <c r="J214" s="165">
        <v>0</v>
      </c>
    </row>
    <row r="215" spans="1:11" x14ac:dyDescent="0.25">
      <c r="A215" s="420"/>
      <c r="B215" s="424"/>
      <c r="C215" s="172" t="s">
        <v>1649</v>
      </c>
      <c r="D215" s="416"/>
      <c r="E215" s="165">
        <v>0</v>
      </c>
      <c r="F215" s="165">
        <v>0</v>
      </c>
      <c r="G215" s="165">
        <v>0</v>
      </c>
      <c r="H215" s="165">
        <v>0</v>
      </c>
      <c r="I215" s="320">
        <v>0</v>
      </c>
      <c r="J215" s="165">
        <v>0</v>
      </c>
    </row>
    <row r="216" spans="1:11" ht="30" customHeight="1" x14ac:dyDescent="0.25">
      <c r="A216" s="171"/>
      <c r="B216" s="157" t="s">
        <v>226</v>
      </c>
      <c r="C216" s="172" t="s">
        <v>1340</v>
      </c>
      <c r="D216" s="172" t="s">
        <v>1268</v>
      </c>
      <c r="E216" s="165">
        <v>0</v>
      </c>
      <c r="F216" s="165">
        <v>0</v>
      </c>
      <c r="G216" s="165">
        <v>0</v>
      </c>
      <c r="H216" s="165">
        <v>0</v>
      </c>
      <c r="I216" s="320">
        <v>0</v>
      </c>
      <c r="J216" s="165">
        <v>0</v>
      </c>
    </row>
    <row r="217" spans="1:11" ht="60" customHeight="1" x14ac:dyDescent="0.25">
      <c r="A217" s="282" t="s">
        <v>1609</v>
      </c>
      <c r="B217" s="157" t="s">
        <v>1610</v>
      </c>
      <c r="C217" s="172"/>
      <c r="D217" s="172"/>
      <c r="E217" s="165">
        <v>87</v>
      </c>
      <c r="F217" s="165">
        <v>90.9</v>
      </c>
      <c r="G217" s="165">
        <v>100</v>
      </c>
      <c r="H217" s="165">
        <v>100</v>
      </c>
      <c r="I217" s="320">
        <v>100</v>
      </c>
      <c r="J217" s="165">
        <v>100</v>
      </c>
    </row>
    <row r="218" spans="1:11" ht="45" customHeight="1" x14ac:dyDescent="0.25">
      <c r="A218" s="182" t="s">
        <v>232</v>
      </c>
      <c r="B218" s="183" t="s">
        <v>227</v>
      </c>
      <c r="C218" s="171"/>
      <c r="D218" s="171"/>
      <c r="E218" s="171"/>
      <c r="F218" s="171"/>
      <c r="G218" s="171"/>
      <c r="H218" s="171"/>
      <c r="I218" s="317"/>
      <c r="J218" s="171"/>
    </row>
    <row r="219" spans="1:11" ht="90" x14ac:dyDescent="0.25">
      <c r="A219" s="172" t="s">
        <v>231</v>
      </c>
      <c r="B219" s="157" t="s">
        <v>228</v>
      </c>
      <c r="C219" s="171"/>
      <c r="D219" s="172"/>
      <c r="E219" s="210"/>
      <c r="F219" s="210"/>
      <c r="G219" s="210"/>
      <c r="H219" s="210"/>
      <c r="I219" s="328"/>
      <c r="J219" s="210"/>
      <c r="K219" s="173" t="s">
        <v>218</v>
      </c>
    </row>
    <row r="220" spans="1:11" x14ac:dyDescent="0.25">
      <c r="A220" s="172"/>
      <c r="B220" s="185" t="s">
        <v>1333</v>
      </c>
      <c r="C220" s="415"/>
      <c r="D220" s="415" t="s">
        <v>9</v>
      </c>
      <c r="E220" s="164">
        <f t="shared" ref="E220:J220" si="68">(E227+E228)/(E230+E231)*100</f>
        <v>100</v>
      </c>
      <c r="F220" s="164">
        <f t="shared" si="68"/>
        <v>100</v>
      </c>
      <c r="G220" s="164">
        <f t="shared" si="68"/>
        <v>72.41379310344827</v>
      </c>
      <c r="H220" s="164">
        <f t="shared" si="68"/>
        <v>100</v>
      </c>
      <c r="I220" s="318">
        <f t="shared" si="68"/>
        <v>100</v>
      </c>
      <c r="J220" s="164">
        <f t="shared" si="68"/>
        <v>100</v>
      </c>
      <c r="K220" s="173"/>
    </row>
    <row r="221" spans="1:11" x14ac:dyDescent="0.25">
      <c r="A221" s="172"/>
      <c r="B221" s="185" t="s">
        <v>1334</v>
      </c>
      <c r="C221" s="416"/>
      <c r="D221" s="416"/>
      <c r="E221" s="164">
        <f t="shared" ref="E221:G222" si="69">E227/E230*100</f>
        <v>100</v>
      </c>
      <c r="F221" s="164">
        <f t="shared" si="69"/>
        <v>100</v>
      </c>
      <c r="G221" s="164">
        <f t="shared" si="69"/>
        <v>100</v>
      </c>
      <c r="H221" s="164">
        <f t="shared" ref="H221:J221" si="70">H227/H230*100</f>
        <v>100</v>
      </c>
      <c r="I221" s="318">
        <f t="shared" si="70"/>
        <v>100</v>
      </c>
      <c r="J221" s="164">
        <f t="shared" si="70"/>
        <v>100</v>
      </c>
      <c r="K221" s="173"/>
    </row>
    <row r="222" spans="1:11" x14ac:dyDescent="0.25">
      <c r="A222" s="172"/>
      <c r="B222" s="157" t="s">
        <v>1336</v>
      </c>
      <c r="C222" s="417"/>
      <c r="D222" s="417"/>
      <c r="E222" s="164">
        <f t="shared" si="69"/>
        <v>100</v>
      </c>
      <c r="F222" s="164" t="e">
        <f t="shared" si="69"/>
        <v>#DIV/0!</v>
      </c>
      <c r="G222" s="164">
        <f t="shared" si="69"/>
        <v>42.857142857142854</v>
      </c>
      <c r="H222" s="164">
        <f>H228/H231*100</f>
        <v>100</v>
      </c>
      <c r="I222" s="318">
        <f t="shared" ref="I222:J222" si="71">I228/I231*100</f>
        <v>100</v>
      </c>
      <c r="J222" s="164">
        <f t="shared" si="71"/>
        <v>100</v>
      </c>
      <c r="K222" s="173"/>
    </row>
    <row r="223" spans="1:11" x14ac:dyDescent="0.25">
      <c r="A223" s="172"/>
      <c r="B223" s="185" t="s">
        <v>1335</v>
      </c>
      <c r="C223" s="415"/>
      <c r="D223" s="415" t="s">
        <v>9</v>
      </c>
      <c r="E223" s="164" t="e">
        <f t="shared" ref="E223:J223" si="72">(E233+E234)/(E236+E237)*100</f>
        <v>#DIV/0!</v>
      </c>
      <c r="F223" s="164" t="e">
        <f t="shared" si="72"/>
        <v>#DIV/0!</v>
      </c>
      <c r="G223" s="164" t="e">
        <f t="shared" si="72"/>
        <v>#DIV/0!</v>
      </c>
      <c r="H223" s="164" t="e">
        <f t="shared" si="72"/>
        <v>#DIV/0!</v>
      </c>
      <c r="I223" s="318" t="e">
        <f t="shared" si="72"/>
        <v>#DIV/0!</v>
      </c>
      <c r="J223" s="164" t="e">
        <f t="shared" si="72"/>
        <v>#DIV/0!</v>
      </c>
      <c r="K223" s="173"/>
    </row>
    <row r="224" spans="1:11" x14ac:dyDescent="0.25">
      <c r="A224" s="172"/>
      <c r="B224" s="185" t="s">
        <v>1334</v>
      </c>
      <c r="C224" s="416"/>
      <c r="D224" s="416"/>
      <c r="E224" s="164" t="e">
        <f t="shared" ref="E224:G225" si="73">E233/E236*100</f>
        <v>#DIV/0!</v>
      </c>
      <c r="F224" s="164" t="e">
        <f t="shared" si="73"/>
        <v>#DIV/0!</v>
      </c>
      <c r="G224" s="164" t="e">
        <f t="shared" si="73"/>
        <v>#DIV/0!</v>
      </c>
      <c r="H224" s="164" t="e">
        <f t="shared" ref="H224:I224" si="74">H233/H236*100</f>
        <v>#DIV/0!</v>
      </c>
      <c r="I224" s="318" t="e">
        <f t="shared" si="74"/>
        <v>#DIV/0!</v>
      </c>
      <c r="J224" s="164" t="e">
        <f t="shared" ref="J224" si="75">J233/J236*100</f>
        <v>#DIV/0!</v>
      </c>
      <c r="K224" s="173"/>
    </row>
    <row r="225" spans="1:11" x14ac:dyDescent="0.25">
      <c r="A225" s="172"/>
      <c r="B225" s="157" t="s">
        <v>1336</v>
      </c>
      <c r="C225" s="417"/>
      <c r="D225" s="417"/>
      <c r="E225" s="164" t="e">
        <f t="shared" si="73"/>
        <v>#DIV/0!</v>
      </c>
      <c r="F225" s="164" t="e">
        <f t="shared" si="73"/>
        <v>#DIV/0!</v>
      </c>
      <c r="G225" s="164" t="e">
        <f t="shared" si="73"/>
        <v>#DIV/0!</v>
      </c>
      <c r="H225" s="164" t="e">
        <f t="shared" ref="H225:I225" si="76">H234/H237*100</f>
        <v>#DIV/0!</v>
      </c>
      <c r="I225" s="318" t="e">
        <f t="shared" si="76"/>
        <v>#DIV/0!</v>
      </c>
      <c r="J225" s="164" t="e">
        <f t="shared" ref="J225" si="77">J234/J237*100</f>
        <v>#DIV/0!</v>
      </c>
      <c r="K225" s="173"/>
    </row>
    <row r="226" spans="1:11" ht="240" x14ac:dyDescent="0.25">
      <c r="A226" s="412"/>
      <c r="B226" s="212" t="s">
        <v>229</v>
      </c>
      <c r="C226" s="275"/>
      <c r="D226" s="275"/>
      <c r="E226" s="181"/>
      <c r="F226" s="181"/>
      <c r="G226" s="181"/>
      <c r="H226" s="181"/>
      <c r="I226" s="319"/>
      <c r="J226" s="181"/>
    </row>
    <row r="227" spans="1:11" x14ac:dyDescent="0.25">
      <c r="A227" s="413"/>
      <c r="B227" s="213" t="s">
        <v>1334</v>
      </c>
      <c r="C227" s="275" t="s">
        <v>1632</v>
      </c>
      <c r="D227" s="275" t="s">
        <v>1076</v>
      </c>
      <c r="E227" s="165">
        <v>16</v>
      </c>
      <c r="F227" s="165">
        <v>4</v>
      </c>
      <c r="G227" s="165">
        <v>15</v>
      </c>
      <c r="H227" s="165">
        <v>58</v>
      </c>
      <c r="I227" s="320">
        <v>66</v>
      </c>
      <c r="J227" s="165">
        <v>63</v>
      </c>
      <c r="K227" s="274"/>
    </row>
    <row r="228" spans="1:11" x14ac:dyDescent="0.25">
      <c r="A228" s="414"/>
      <c r="B228" s="214" t="s">
        <v>1336</v>
      </c>
      <c r="C228" s="275" t="s">
        <v>1632</v>
      </c>
      <c r="D228" s="275" t="s">
        <v>1076</v>
      </c>
      <c r="E228" s="181">
        <v>1</v>
      </c>
      <c r="F228" s="181">
        <v>0</v>
      </c>
      <c r="G228" s="181">
        <v>6</v>
      </c>
      <c r="H228" s="181">
        <v>33</v>
      </c>
      <c r="I228" s="319">
        <v>38</v>
      </c>
      <c r="J228" s="181">
        <v>52</v>
      </c>
    </row>
    <row r="229" spans="1:11" ht="90" x14ac:dyDescent="0.25">
      <c r="A229" s="412"/>
      <c r="B229" s="212" t="s">
        <v>230</v>
      </c>
      <c r="C229" s="275"/>
      <c r="D229" s="275"/>
      <c r="E229" s="181"/>
      <c r="F229" s="181"/>
      <c r="G229" s="181"/>
      <c r="H229" s="181"/>
      <c r="I229" s="319"/>
      <c r="J229" s="181"/>
    </row>
    <row r="230" spans="1:11" x14ac:dyDescent="0.25">
      <c r="A230" s="413"/>
      <c r="B230" s="213" t="s">
        <v>1334</v>
      </c>
      <c r="C230" s="275" t="s">
        <v>1632</v>
      </c>
      <c r="D230" s="275" t="s">
        <v>1076</v>
      </c>
      <c r="E230" s="165">
        <v>16</v>
      </c>
      <c r="F230" s="165">
        <v>4</v>
      </c>
      <c r="G230" s="165">
        <v>15</v>
      </c>
      <c r="H230" s="165">
        <v>58</v>
      </c>
      <c r="I230" s="320">
        <v>66</v>
      </c>
      <c r="J230" s="165">
        <v>63</v>
      </c>
    </row>
    <row r="231" spans="1:11" x14ac:dyDescent="0.25">
      <c r="A231" s="414"/>
      <c r="B231" s="214" t="s">
        <v>1336</v>
      </c>
      <c r="C231" s="275" t="s">
        <v>1642</v>
      </c>
      <c r="D231" s="275" t="s">
        <v>1076</v>
      </c>
      <c r="E231" s="181">
        <v>1</v>
      </c>
      <c r="F231" s="181">
        <v>0</v>
      </c>
      <c r="G231" s="181">
        <v>14</v>
      </c>
      <c r="H231" s="181">
        <v>33</v>
      </c>
      <c r="I231" s="319">
        <v>38</v>
      </c>
      <c r="J231" s="181">
        <v>52</v>
      </c>
    </row>
    <row r="232" spans="1:11" ht="224.25" customHeight="1" x14ac:dyDescent="0.25">
      <c r="A232" s="412"/>
      <c r="B232" s="212" t="s">
        <v>229</v>
      </c>
      <c r="C232" s="275"/>
      <c r="D232" s="275"/>
      <c r="E232" s="181"/>
      <c r="F232" s="181"/>
      <c r="G232" s="181"/>
      <c r="H232" s="181"/>
      <c r="I232" s="319"/>
      <c r="J232" s="181"/>
    </row>
    <row r="233" spans="1:11" x14ac:dyDescent="0.25">
      <c r="A233" s="413"/>
      <c r="B233" s="213" t="s">
        <v>1334</v>
      </c>
      <c r="C233" s="275" t="s">
        <v>1642</v>
      </c>
      <c r="D233" s="275" t="s">
        <v>1076</v>
      </c>
      <c r="E233" s="181">
        <v>0</v>
      </c>
      <c r="F233" s="181">
        <v>0</v>
      </c>
      <c r="G233" s="181">
        <v>0</v>
      </c>
      <c r="H233" s="181">
        <v>0</v>
      </c>
      <c r="I233" s="319">
        <v>0</v>
      </c>
      <c r="J233" s="181">
        <v>0</v>
      </c>
    </row>
    <row r="234" spans="1:11" x14ac:dyDescent="0.25">
      <c r="A234" s="414"/>
      <c r="B234" s="214" t="s">
        <v>1336</v>
      </c>
      <c r="C234" s="275" t="s">
        <v>1632</v>
      </c>
      <c r="D234" s="275" t="s">
        <v>1076</v>
      </c>
      <c r="E234" s="181">
        <v>0</v>
      </c>
      <c r="F234" s="181">
        <v>0</v>
      </c>
      <c r="G234" s="181">
        <v>0</v>
      </c>
      <c r="H234" s="181">
        <v>0</v>
      </c>
      <c r="I234" s="319">
        <v>0</v>
      </c>
      <c r="J234" s="181">
        <v>0</v>
      </c>
    </row>
    <row r="235" spans="1:11" ht="90" x14ac:dyDescent="0.25">
      <c r="A235" s="412"/>
      <c r="B235" s="212" t="s">
        <v>230</v>
      </c>
      <c r="C235" s="275"/>
      <c r="D235" s="275"/>
      <c r="E235" s="181"/>
      <c r="F235" s="181"/>
      <c r="G235" s="181"/>
      <c r="H235" s="181"/>
      <c r="I235" s="319"/>
      <c r="J235" s="181"/>
    </row>
    <row r="236" spans="1:11" x14ac:dyDescent="0.25">
      <c r="A236" s="413"/>
      <c r="B236" s="213" t="s">
        <v>1334</v>
      </c>
      <c r="C236" s="275" t="s">
        <v>1632</v>
      </c>
      <c r="D236" s="275" t="s">
        <v>1076</v>
      </c>
      <c r="E236" s="181">
        <v>0</v>
      </c>
      <c r="F236" s="181">
        <v>0</v>
      </c>
      <c r="G236" s="181">
        <v>0</v>
      </c>
      <c r="H236" s="181">
        <v>0</v>
      </c>
      <c r="I236" s="319">
        <v>0</v>
      </c>
      <c r="J236" s="181">
        <v>0</v>
      </c>
    </row>
    <row r="237" spans="1:11" x14ac:dyDescent="0.25">
      <c r="A237" s="414"/>
      <c r="B237" s="214" t="s">
        <v>1336</v>
      </c>
      <c r="C237" s="275" t="s">
        <v>1632</v>
      </c>
      <c r="D237" s="275" t="s">
        <v>1076</v>
      </c>
      <c r="E237" s="181">
        <v>0</v>
      </c>
      <c r="F237" s="181">
        <v>0</v>
      </c>
      <c r="G237" s="181">
        <v>0</v>
      </c>
      <c r="H237" s="181">
        <v>0</v>
      </c>
      <c r="I237" s="319">
        <v>0</v>
      </c>
      <c r="J237" s="181">
        <v>0</v>
      </c>
    </row>
    <row r="238" spans="1:11" ht="75" x14ac:dyDescent="0.25">
      <c r="A238" s="172" t="s">
        <v>234</v>
      </c>
      <c r="B238" s="157" t="s">
        <v>233</v>
      </c>
      <c r="C238" s="171"/>
      <c r="D238" s="172"/>
      <c r="E238" s="164"/>
      <c r="F238" s="164"/>
      <c r="G238" s="164"/>
      <c r="H238" s="164"/>
      <c r="I238" s="318"/>
      <c r="J238" s="164"/>
      <c r="K238" s="173" t="s">
        <v>149</v>
      </c>
    </row>
    <row r="239" spans="1:11" x14ac:dyDescent="0.25">
      <c r="A239" s="172"/>
      <c r="B239" s="185" t="s">
        <v>1333</v>
      </c>
      <c r="C239" s="171"/>
      <c r="D239" s="172" t="s">
        <v>9</v>
      </c>
      <c r="E239" s="164">
        <f t="shared" ref="E239:J239" si="78">(E246+E247)/(E249+E250)*100</f>
        <v>100</v>
      </c>
      <c r="F239" s="164">
        <f t="shared" si="78"/>
        <v>100</v>
      </c>
      <c r="G239" s="164">
        <f t="shared" si="78"/>
        <v>100</v>
      </c>
      <c r="H239" s="164">
        <f t="shared" si="78"/>
        <v>100</v>
      </c>
      <c r="I239" s="318">
        <f t="shared" si="78"/>
        <v>100</v>
      </c>
      <c r="J239" s="164">
        <f t="shared" si="78"/>
        <v>100</v>
      </c>
    </row>
    <row r="240" spans="1:11" x14ac:dyDescent="0.25">
      <c r="A240" s="172"/>
      <c r="B240" s="185" t="s">
        <v>1334</v>
      </c>
      <c r="C240" s="171"/>
      <c r="D240" s="172" t="s">
        <v>9</v>
      </c>
      <c r="E240" s="164">
        <f t="shared" ref="E240:G241" si="79">E246/E249*100</f>
        <v>100</v>
      </c>
      <c r="F240" s="164">
        <f t="shared" si="79"/>
        <v>100</v>
      </c>
      <c r="G240" s="164">
        <f t="shared" si="79"/>
        <v>100</v>
      </c>
      <c r="H240" s="164">
        <f t="shared" ref="H240:I240" si="80">H246/H249*100</f>
        <v>100</v>
      </c>
      <c r="I240" s="318">
        <f t="shared" si="80"/>
        <v>100</v>
      </c>
      <c r="J240" s="164">
        <f t="shared" ref="J240" si="81">J246/J249*100</f>
        <v>100</v>
      </c>
    </row>
    <row r="241" spans="1:11" x14ac:dyDescent="0.25">
      <c r="A241" s="172"/>
      <c r="B241" s="157" t="s">
        <v>1336</v>
      </c>
      <c r="C241" s="171"/>
      <c r="D241" s="172" t="s">
        <v>9</v>
      </c>
      <c r="E241" s="164">
        <f t="shared" si="79"/>
        <v>100</v>
      </c>
      <c r="F241" s="164">
        <f t="shared" si="79"/>
        <v>100</v>
      </c>
      <c r="G241" s="164">
        <f t="shared" si="79"/>
        <v>100</v>
      </c>
      <c r="H241" s="164">
        <f t="shared" ref="H241:I241" si="82">H247/H250*100</f>
        <v>100</v>
      </c>
      <c r="I241" s="318">
        <f t="shared" si="82"/>
        <v>100</v>
      </c>
      <c r="J241" s="164">
        <f t="shared" ref="J241" si="83">J247/J250*100</f>
        <v>100</v>
      </c>
    </row>
    <row r="242" spans="1:11" x14ac:dyDescent="0.25">
      <c r="A242" s="172"/>
      <c r="B242" s="185" t="s">
        <v>1335</v>
      </c>
      <c r="C242" s="171"/>
      <c r="D242" s="172" t="s">
        <v>9</v>
      </c>
      <c r="E242" s="164" t="e">
        <f t="shared" ref="E242:J242" si="84">(E252+E253)/(E255+E256)*100</f>
        <v>#DIV/0!</v>
      </c>
      <c r="F242" s="164" t="e">
        <f t="shared" si="84"/>
        <v>#DIV/0!</v>
      </c>
      <c r="G242" s="164" t="e">
        <f t="shared" si="84"/>
        <v>#DIV/0!</v>
      </c>
      <c r="H242" s="164" t="e">
        <f t="shared" si="84"/>
        <v>#DIV/0!</v>
      </c>
      <c r="I242" s="318" t="e">
        <f t="shared" si="84"/>
        <v>#DIV/0!</v>
      </c>
      <c r="J242" s="164" t="e">
        <f t="shared" si="84"/>
        <v>#DIV/0!</v>
      </c>
    </row>
    <row r="243" spans="1:11" x14ac:dyDescent="0.25">
      <c r="A243" s="172"/>
      <c r="B243" s="185" t="s">
        <v>1334</v>
      </c>
      <c r="C243" s="171"/>
      <c r="D243" s="172" t="s">
        <v>9</v>
      </c>
      <c r="E243" s="164" t="e">
        <f t="shared" ref="E243:G244" si="85">E252/E255*100</f>
        <v>#DIV/0!</v>
      </c>
      <c r="F243" s="164" t="e">
        <f t="shared" si="85"/>
        <v>#DIV/0!</v>
      </c>
      <c r="G243" s="164" t="e">
        <f t="shared" si="85"/>
        <v>#DIV/0!</v>
      </c>
      <c r="H243" s="164" t="e">
        <f t="shared" ref="H243:I243" si="86">H252/H255*100</f>
        <v>#DIV/0!</v>
      </c>
      <c r="I243" s="318" t="e">
        <f t="shared" si="86"/>
        <v>#DIV/0!</v>
      </c>
      <c r="J243" s="164" t="e">
        <f t="shared" ref="J243" si="87">J252/J255*100</f>
        <v>#DIV/0!</v>
      </c>
    </row>
    <row r="244" spans="1:11" x14ac:dyDescent="0.25">
      <c r="A244" s="172"/>
      <c r="B244" s="157" t="s">
        <v>1336</v>
      </c>
      <c r="C244" s="171"/>
      <c r="D244" s="172" t="s">
        <v>9</v>
      </c>
      <c r="E244" s="164" t="e">
        <f t="shared" si="85"/>
        <v>#DIV/0!</v>
      </c>
      <c r="F244" s="164" t="e">
        <f t="shared" si="85"/>
        <v>#DIV/0!</v>
      </c>
      <c r="G244" s="164" t="e">
        <f t="shared" si="85"/>
        <v>#DIV/0!</v>
      </c>
      <c r="H244" s="164" t="e">
        <f t="shared" ref="H244:I244" si="88">H253/H256*100</f>
        <v>#DIV/0!</v>
      </c>
      <c r="I244" s="318" t="e">
        <f t="shared" si="88"/>
        <v>#DIV/0!</v>
      </c>
      <c r="J244" s="164" t="e">
        <f t="shared" ref="J244" si="89">J253/J256*100</f>
        <v>#DIV/0!</v>
      </c>
    </row>
    <row r="245" spans="1:11" ht="225" x14ac:dyDescent="0.25">
      <c r="A245" s="412"/>
      <c r="B245" s="212" t="s">
        <v>235</v>
      </c>
      <c r="C245" s="275"/>
      <c r="D245" s="275"/>
      <c r="E245" s="190"/>
      <c r="F245" s="190"/>
      <c r="G245" s="190"/>
      <c r="H245" s="190"/>
      <c r="I245" s="330"/>
      <c r="J245" s="190"/>
      <c r="K245" s="173"/>
    </row>
    <row r="246" spans="1:11" x14ac:dyDescent="0.25">
      <c r="A246" s="413"/>
      <c r="B246" s="213" t="s">
        <v>1334</v>
      </c>
      <c r="C246" s="275" t="s">
        <v>1642</v>
      </c>
      <c r="D246" s="275" t="s">
        <v>1076</v>
      </c>
      <c r="E246" s="165">
        <v>5</v>
      </c>
      <c r="F246" s="165">
        <v>12</v>
      </c>
      <c r="G246" s="165">
        <v>12</v>
      </c>
      <c r="H246" s="165">
        <v>37</v>
      </c>
      <c r="I246" s="320">
        <v>45</v>
      </c>
      <c r="J246" s="165">
        <v>45</v>
      </c>
      <c r="K246" s="173"/>
    </row>
    <row r="247" spans="1:11" x14ac:dyDescent="0.25">
      <c r="A247" s="414"/>
      <c r="B247" s="214" t="s">
        <v>1336</v>
      </c>
      <c r="C247" s="275" t="s">
        <v>1642</v>
      </c>
      <c r="D247" s="275" t="s">
        <v>1076</v>
      </c>
      <c r="E247" s="165">
        <v>11</v>
      </c>
      <c r="F247" s="165">
        <v>12</v>
      </c>
      <c r="G247" s="172">
        <v>10</v>
      </c>
      <c r="H247" s="172">
        <v>20</v>
      </c>
      <c r="I247" s="332">
        <v>29</v>
      </c>
      <c r="J247" s="172">
        <v>31</v>
      </c>
      <c r="K247" s="173"/>
    </row>
    <row r="248" spans="1:11" ht="90" x14ac:dyDescent="0.25">
      <c r="A248" s="412"/>
      <c r="B248" s="212" t="s">
        <v>236</v>
      </c>
      <c r="C248" s="275"/>
      <c r="D248" s="275"/>
      <c r="E248" s="190"/>
      <c r="F248" s="190"/>
      <c r="G248" s="190"/>
      <c r="H248" s="190"/>
      <c r="I248" s="330"/>
      <c r="J248" s="190"/>
    </row>
    <row r="249" spans="1:11" x14ac:dyDescent="0.25">
      <c r="A249" s="413"/>
      <c r="B249" s="213" t="s">
        <v>1334</v>
      </c>
      <c r="C249" s="275" t="s">
        <v>1642</v>
      </c>
      <c r="D249" s="275" t="s">
        <v>1076</v>
      </c>
      <c r="E249" s="165">
        <v>5</v>
      </c>
      <c r="F249" s="165">
        <v>12</v>
      </c>
      <c r="G249" s="165">
        <v>12</v>
      </c>
      <c r="H249" s="165">
        <v>37</v>
      </c>
      <c r="I249" s="320">
        <v>45</v>
      </c>
      <c r="J249" s="165">
        <v>45</v>
      </c>
    </row>
    <row r="250" spans="1:11" x14ac:dyDescent="0.25">
      <c r="A250" s="414"/>
      <c r="B250" s="214" t="s">
        <v>1336</v>
      </c>
      <c r="C250" s="275" t="s">
        <v>1642</v>
      </c>
      <c r="D250" s="275" t="s">
        <v>1076</v>
      </c>
      <c r="E250" s="165">
        <v>11</v>
      </c>
      <c r="F250" s="165">
        <v>12</v>
      </c>
      <c r="G250" s="172">
        <v>10</v>
      </c>
      <c r="H250" s="172">
        <v>20</v>
      </c>
      <c r="I250" s="332">
        <v>29</v>
      </c>
      <c r="J250" s="172">
        <v>31</v>
      </c>
    </row>
    <row r="251" spans="1:11" ht="225" x14ac:dyDescent="0.25">
      <c r="A251" s="412"/>
      <c r="B251" s="212" t="s">
        <v>235</v>
      </c>
      <c r="C251" s="275"/>
      <c r="D251" s="275"/>
      <c r="E251" s="190"/>
      <c r="F251" s="190"/>
      <c r="G251" s="190"/>
      <c r="H251" s="190"/>
      <c r="I251" s="330"/>
      <c r="J251" s="190"/>
      <c r="K251" s="173" t="s">
        <v>149</v>
      </c>
    </row>
    <row r="252" spans="1:11" x14ac:dyDescent="0.25">
      <c r="A252" s="413"/>
      <c r="B252" s="213" t="s">
        <v>1334</v>
      </c>
      <c r="C252" s="275" t="s">
        <v>1642</v>
      </c>
      <c r="D252" s="275" t="s">
        <v>1076</v>
      </c>
      <c r="E252" s="190">
        <v>0</v>
      </c>
      <c r="F252" s="190">
        <v>0</v>
      </c>
      <c r="G252" s="190">
        <v>0</v>
      </c>
      <c r="H252" s="190">
        <v>0</v>
      </c>
      <c r="I252" s="330">
        <v>0</v>
      </c>
      <c r="J252" s="190">
        <v>0</v>
      </c>
      <c r="K252" s="173"/>
    </row>
    <row r="253" spans="1:11" x14ac:dyDescent="0.25">
      <c r="A253" s="414"/>
      <c r="B253" s="214" t="s">
        <v>1336</v>
      </c>
      <c r="C253" s="275" t="s">
        <v>1642</v>
      </c>
      <c r="D253" s="275" t="s">
        <v>1076</v>
      </c>
      <c r="E253" s="190">
        <v>0</v>
      </c>
      <c r="F253" s="190">
        <v>0</v>
      </c>
      <c r="G253" s="190">
        <v>0</v>
      </c>
      <c r="H253" s="190">
        <v>0</v>
      </c>
      <c r="I253" s="330">
        <v>0</v>
      </c>
      <c r="J253" s="190">
        <v>0</v>
      </c>
      <c r="K253" s="173"/>
    </row>
    <row r="254" spans="1:11" ht="90" x14ac:dyDescent="0.25">
      <c r="A254" s="412"/>
      <c r="B254" s="212" t="s">
        <v>236</v>
      </c>
      <c r="C254" s="275"/>
      <c r="D254" s="275"/>
      <c r="E254" s="190"/>
      <c r="F254" s="190"/>
      <c r="G254" s="190"/>
      <c r="H254" s="190"/>
      <c r="I254" s="330"/>
      <c r="J254" s="190"/>
    </row>
    <row r="255" spans="1:11" x14ac:dyDescent="0.25">
      <c r="A255" s="413"/>
      <c r="B255" s="213" t="s">
        <v>1334</v>
      </c>
      <c r="C255" s="275" t="s">
        <v>1642</v>
      </c>
      <c r="D255" s="275" t="s">
        <v>1076</v>
      </c>
      <c r="E255" s="190">
        <v>0</v>
      </c>
      <c r="F255" s="190">
        <v>0</v>
      </c>
      <c r="G255" s="190">
        <v>0</v>
      </c>
      <c r="H255" s="190">
        <v>0</v>
      </c>
      <c r="I255" s="330">
        <v>0</v>
      </c>
      <c r="J255" s="190">
        <v>0</v>
      </c>
    </row>
    <row r="256" spans="1:11" x14ac:dyDescent="0.25">
      <c r="A256" s="414"/>
      <c r="B256" s="214" t="s">
        <v>1336</v>
      </c>
      <c r="C256" s="275" t="s">
        <v>1642</v>
      </c>
      <c r="D256" s="275" t="s">
        <v>1076</v>
      </c>
      <c r="E256" s="190">
        <v>0</v>
      </c>
      <c r="F256" s="190">
        <v>0</v>
      </c>
      <c r="G256" s="190">
        <v>0</v>
      </c>
      <c r="H256" s="190">
        <v>0</v>
      </c>
      <c r="I256" s="330">
        <v>0</v>
      </c>
      <c r="J256" s="190">
        <v>0</v>
      </c>
    </row>
    <row r="257" spans="1:10" ht="90" x14ac:dyDescent="0.25">
      <c r="A257" s="172" t="s">
        <v>1477</v>
      </c>
      <c r="B257" s="185" t="s">
        <v>1478</v>
      </c>
      <c r="C257" s="172"/>
      <c r="D257" s="172"/>
      <c r="E257" s="190"/>
      <c r="F257" s="190"/>
      <c r="G257" s="190"/>
      <c r="H257" s="190"/>
      <c r="I257" s="330"/>
      <c r="J257" s="190"/>
    </row>
    <row r="258" spans="1:10" ht="30" x14ac:dyDescent="0.25">
      <c r="A258" s="172"/>
      <c r="B258" s="185" t="s">
        <v>1712</v>
      </c>
      <c r="C258" s="172"/>
      <c r="D258" s="172" t="s">
        <v>9</v>
      </c>
      <c r="E258" s="190">
        <v>0</v>
      </c>
      <c r="F258" s="190">
        <v>0</v>
      </c>
      <c r="G258" s="190">
        <v>0</v>
      </c>
      <c r="H258" s="190">
        <v>0</v>
      </c>
      <c r="I258" s="330">
        <v>0</v>
      </c>
      <c r="J258" s="190">
        <v>0</v>
      </c>
    </row>
    <row r="259" spans="1:10" x14ac:dyDescent="0.25">
      <c r="A259" s="172"/>
      <c r="B259" s="185" t="s">
        <v>1617</v>
      </c>
      <c r="C259" s="172"/>
      <c r="D259" s="172" t="s">
        <v>9</v>
      </c>
      <c r="E259" s="190">
        <v>0</v>
      </c>
      <c r="F259" s="190">
        <v>0</v>
      </c>
      <c r="G259" s="190">
        <v>0</v>
      </c>
      <c r="H259" s="190">
        <v>0</v>
      </c>
      <c r="I259" s="330">
        <v>0</v>
      </c>
      <c r="J259" s="190">
        <v>0</v>
      </c>
    </row>
    <row r="260" spans="1:10" x14ac:dyDescent="0.25">
      <c r="A260" s="172"/>
      <c r="B260" s="185" t="s">
        <v>1709</v>
      </c>
      <c r="C260" s="172"/>
      <c r="D260" s="172" t="s">
        <v>9</v>
      </c>
      <c r="E260" s="190">
        <v>0</v>
      </c>
      <c r="F260" s="190">
        <v>0</v>
      </c>
      <c r="G260" s="190">
        <v>0</v>
      </c>
      <c r="H260" s="190">
        <v>0</v>
      </c>
      <c r="I260" s="330">
        <v>0</v>
      </c>
      <c r="J260" s="190">
        <v>0</v>
      </c>
    </row>
    <row r="261" spans="1:10" ht="30" x14ac:dyDescent="0.25">
      <c r="A261" s="172"/>
      <c r="B261" s="185" t="s">
        <v>1621</v>
      </c>
      <c r="C261" s="172"/>
      <c r="D261" s="172" t="s">
        <v>9</v>
      </c>
      <c r="E261" s="190">
        <v>0</v>
      </c>
      <c r="F261" s="190">
        <v>0</v>
      </c>
      <c r="G261" s="190">
        <v>0</v>
      </c>
      <c r="H261" s="190">
        <v>0</v>
      </c>
      <c r="I261" s="330">
        <v>0</v>
      </c>
      <c r="J261" s="190">
        <v>0</v>
      </c>
    </row>
    <row r="262" spans="1:10" x14ac:dyDescent="0.25">
      <c r="A262" s="172"/>
      <c r="B262" s="185" t="s">
        <v>1619</v>
      </c>
      <c r="C262" s="172"/>
      <c r="D262" s="172" t="s">
        <v>9</v>
      </c>
      <c r="E262" s="190">
        <v>0</v>
      </c>
      <c r="F262" s="190">
        <v>0</v>
      </c>
      <c r="G262" s="190">
        <v>0</v>
      </c>
      <c r="H262" s="190">
        <v>0</v>
      </c>
      <c r="I262" s="330">
        <v>0</v>
      </c>
      <c r="J262" s="190">
        <v>0</v>
      </c>
    </row>
    <row r="263" spans="1:10" x14ac:dyDescent="0.25">
      <c r="A263" s="172"/>
      <c r="B263" s="185" t="s">
        <v>1618</v>
      </c>
      <c r="C263" s="172"/>
      <c r="D263" s="172" t="s">
        <v>9</v>
      </c>
      <c r="E263" s="190">
        <v>0</v>
      </c>
      <c r="F263" s="190">
        <v>0</v>
      </c>
      <c r="G263" s="190">
        <v>0</v>
      </c>
      <c r="H263" s="190">
        <v>0</v>
      </c>
      <c r="I263" s="330">
        <v>0</v>
      </c>
      <c r="J263" s="190">
        <v>0</v>
      </c>
    </row>
    <row r="264" spans="1:10" x14ac:dyDescent="0.25">
      <c r="A264" s="172"/>
      <c r="B264" s="185" t="s">
        <v>1620</v>
      </c>
      <c r="C264" s="172"/>
      <c r="D264" s="172" t="s">
        <v>9</v>
      </c>
      <c r="E264" s="190">
        <v>0</v>
      </c>
      <c r="F264" s="190">
        <v>0</v>
      </c>
      <c r="G264" s="190">
        <v>0</v>
      </c>
      <c r="H264" s="190">
        <v>0</v>
      </c>
      <c r="I264" s="330">
        <v>0</v>
      </c>
      <c r="J264" s="190">
        <v>0</v>
      </c>
    </row>
    <row r="265" spans="1:10" ht="30" x14ac:dyDescent="0.25">
      <c r="A265" s="172"/>
      <c r="B265" s="185" t="s">
        <v>1710</v>
      </c>
      <c r="C265" s="172"/>
      <c r="D265" s="172" t="s">
        <v>9</v>
      </c>
      <c r="E265" s="190">
        <v>0</v>
      </c>
      <c r="F265" s="190">
        <v>0</v>
      </c>
      <c r="G265" s="190">
        <v>0</v>
      </c>
      <c r="H265" s="190">
        <v>0</v>
      </c>
      <c r="I265" s="330">
        <v>0</v>
      </c>
      <c r="J265" s="190">
        <v>0</v>
      </c>
    </row>
    <row r="266" spans="1:10" x14ac:dyDescent="0.25">
      <c r="A266" s="172"/>
      <c r="B266" s="185" t="s">
        <v>1711</v>
      </c>
      <c r="C266" s="172"/>
      <c r="D266" s="172" t="s">
        <v>9</v>
      </c>
      <c r="E266" s="190">
        <v>0</v>
      </c>
      <c r="F266" s="190">
        <v>0</v>
      </c>
      <c r="G266" s="190">
        <v>0</v>
      </c>
      <c r="H266" s="190">
        <v>0</v>
      </c>
      <c r="I266" s="330">
        <v>0</v>
      </c>
      <c r="J266" s="190">
        <v>0</v>
      </c>
    </row>
    <row r="267" spans="1:10" ht="45" x14ac:dyDescent="0.25">
      <c r="A267" s="172" t="s">
        <v>1481</v>
      </c>
      <c r="B267" s="185" t="s">
        <v>1612</v>
      </c>
      <c r="C267" s="172"/>
      <c r="D267" s="172"/>
      <c r="E267" s="190"/>
      <c r="F267" s="190"/>
      <c r="G267" s="190"/>
      <c r="H267" s="190"/>
      <c r="I267" s="330"/>
      <c r="J267" s="190"/>
    </row>
    <row r="268" spans="1:10" x14ac:dyDescent="0.25">
      <c r="A268" s="172"/>
      <c r="B268" s="185" t="s">
        <v>1613</v>
      </c>
      <c r="C268" s="172"/>
      <c r="D268" s="172" t="s">
        <v>9</v>
      </c>
      <c r="E268" s="190">
        <v>0</v>
      </c>
      <c r="F268" s="190">
        <v>0</v>
      </c>
      <c r="G268" s="190">
        <v>0</v>
      </c>
      <c r="H268" s="190">
        <v>0</v>
      </c>
      <c r="I268" s="330">
        <v>0</v>
      </c>
      <c r="J268" s="190">
        <v>0</v>
      </c>
    </row>
    <row r="269" spans="1:10" x14ac:dyDescent="0.25">
      <c r="A269" s="172"/>
      <c r="B269" s="185" t="s">
        <v>1614</v>
      </c>
      <c r="C269" s="172"/>
      <c r="D269" s="172" t="s">
        <v>9</v>
      </c>
      <c r="E269" s="190">
        <v>0</v>
      </c>
      <c r="F269" s="190">
        <v>0</v>
      </c>
      <c r="G269" s="190">
        <v>0</v>
      </c>
      <c r="H269" s="190">
        <v>0</v>
      </c>
      <c r="I269" s="330">
        <v>0</v>
      </c>
      <c r="J269" s="190">
        <v>0</v>
      </c>
    </row>
    <row r="270" spans="1:10" x14ac:dyDescent="0.25">
      <c r="A270" s="172"/>
      <c r="B270" s="157" t="s">
        <v>1615</v>
      </c>
      <c r="C270" s="172"/>
      <c r="D270" s="172" t="s">
        <v>9</v>
      </c>
      <c r="E270" s="190">
        <v>0</v>
      </c>
      <c r="F270" s="190">
        <v>0</v>
      </c>
      <c r="G270" s="190">
        <v>0</v>
      </c>
      <c r="H270" s="190">
        <v>0</v>
      </c>
      <c r="I270" s="330">
        <v>0</v>
      </c>
      <c r="J270" s="190">
        <v>0</v>
      </c>
    </row>
    <row r="271" spans="1:10" x14ac:dyDescent="0.25">
      <c r="A271" s="172"/>
      <c r="B271" s="157" t="s">
        <v>1616</v>
      </c>
      <c r="C271" s="172"/>
      <c r="D271" s="172" t="s">
        <v>9</v>
      </c>
      <c r="E271" s="190">
        <v>0</v>
      </c>
      <c r="F271" s="190">
        <v>0</v>
      </c>
      <c r="G271" s="190">
        <v>0</v>
      </c>
      <c r="H271" s="190">
        <v>0</v>
      </c>
      <c r="I271" s="330">
        <v>0</v>
      </c>
      <c r="J271" s="190">
        <v>0</v>
      </c>
    </row>
    <row r="272" spans="1:10" x14ac:dyDescent="0.25">
      <c r="A272" s="172"/>
      <c r="B272" s="185" t="s">
        <v>1617</v>
      </c>
      <c r="C272" s="172"/>
      <c r="D272" s="172" t="s">
        <v>9</v>
      </c>
      <c r="E272" s="190">
        <v>0</v>
      </c>
      <c r="F272" s="190">
        <v>0</v>
      </c>
      <c r="G272" s="190">
        <v>0</v>
      </c>
      <c r="H272" s="190">
        <v>0</v>
      </c>
      <c r="I272" s="330">
        <v>0</v>
      </c>
      <c r="J272" s="190">
        <v>0</v>
      </c>
    </row>
    <row r="273" spans="1:11" x14ac:dyDescent="0.25">
      <c r="A273" s="172"/>
      <c r="B273" s="185" t="s">
        <v>1618</v>
      </c>
      <c r="C273" s="172"/>
      <c r="D273" s="172" t="s">
        <v>9</v>
      </c>
      <c r="E273" s="190">
        <v>0</v>
      </c>
      <c r="F273" s="190">
        <v>0</v>
      </c>
      <c r="G273" s="190">
        <v>0</v>
      </c>
      <c r="H273" s="190">
        <v>0</v>
      </c>
      <c r="I273" s="330">
        <v>0</v>
      </c>
      <c r="J273" s="190">
        <v>0</v>
      </c>
    </row>
    <row r="274" spans="1:11" x14ac:dyDescent="0.25">
      <c r="A274" s="172"/>
      <c r="B274" s="185" t="s">
        <v>1619</v>
      </c>
      <c r="C274" s="172"/>
      <c r="D274" s="172" t="s">
        <v>9</v>
      </c>
      <c r="E274" s="190">
        <v>0</v>
      </c>
      <c r="F274" s="190">
        <v>0</v>
      </c>
      <c r="G274" s="190">
        <v>0</v>
      </c>
      <c r="H274" s="190">
        <v>0</v>
      </c>
      <c r="I274" s="330">
        <v>0</v>
      </c>
      <c r="J274" s="190">
        <v>0</v>
      </c>
    </row>
    <row r="275" spans="1:11" x14ac:dyDescent="0.25">
      <c r="A275" s="172"/>
      <c r="B275" s="185" t="s">
        <v>1620</v>
      </c>
      <c r="C275" s="172"/>
      <c r="D275" s="172" t="s">
        <v>9</v>
      </c>
      <c r="E275" s="190">
        <v>0</v>
      </c>
      <c r="F275" s="190">
        <v>0</v>
      </c>
      <c r="G275" s="190">
        <v>0</v>
      </c>
      <c r="H275" s="190">
        <v>0</v>
      </c>
      <c r="I275" s="330">
        <v>0</v>
      </c>
      <c r="J275" s="190">
        <v>0</v>
      </c>
    </row>
    <row r="276" spans="1:11" ht="30" x14ac:dyDescent="0.25">
      <c r="A276" s="172"/>
      <c r="B276" s="185" t="s">
        <v>1621</v>
      </c>
      <c r="C276" s="172"/>
      <c r="D276" s="172" t="s">
        <v>9</v>
      </c>
      <c r="E276" s="190">
        <v>0</v>
      </c>
      <c r="F276" s="190">
        <v>0</v>
      </c>
      <c r="G276" s="190">
        <v>0</v>
      </c>
      <c r="H276" s="190">
        <v>0</v>
      </c>
      <c r="I276" s="330">
        <v>0</v>
      </c>
      <c r="J276" s="190">
        <v>0</v>
      </c>
    </row>
    <row r="277" spans="1:11" ht="45" x14ac:dyDescent="0.25">
      <c r="A277" s="172" t="s">
        <v>1622</v>
      </c>
      <c r="B277" s="185" t="s">
        <v>1623</v>
      </c>
      <c r="C277" s="172"/>
      <c r="D277" s="172"/>
      <c r="E277" s="190"/>
      <c r="F277" s="190"/>
      <c r="G277" s="190"/>
      <c r="H277" s="190"/>
      <c r="I277" s="330"/>
      <c r="J277" s="190"/>
    </row>
    <row r="278" spans="1:11" x14ac:dyDescent="0.25">
      <c r="A278" s="172"/>
      <c r="B278" s="185" t="s">
        <v>1624</v>
      </c>
      <c r="C278" s="172"/>
      <c r="D278" s="172" t="s">
        <v>9</v>
      </c>
      <c r="E278" s="190">
        <v>0</v>
      </c>
      <c r="F278" s="190">
        <v>0</v>
      </c>
      <c r="G278" s="190">
        <v>0</v>
      </c>
      <c r="H278" s="190">
        <v>0</v>
      </c>
      <c r="I278" s="330">
        <v>0</v>
      </c>
      <c r="J278" s="190">
        <v>0</v>
      </c>
    </row>
    <row r="279" spans="1:11" x14ac:dyDescent="0.25">
      <c r="A279" s="172"/>
      <c r="B279" s="185" t="s">
        <v>1625</v>
      </c>
      <c r="C279" s="172"/>
      <c r="D279" s="172" t="s">
        <v>9</v>
      </c>
      <c r="E279" s="190">
        <v>0</v>
      </c>
      <c r="F279" s="190">
        <v>0</v>
      </c>
      <c r="G279" s="190">
        <v>0</v>
      </c>
      <c r="H279" s="190">
        <v>0</v>
      </c>
      <c r="I279" s="330">
        <v>0</v>
      </c>
      <c r="J279" s="190">
        <v>0</v>
      </c>
    </row>
    <row r="280" spans="1:11" x14ac:dyDescent="0.25">
      <c r="A280" s="172"/>
      <c r="B280" s="185" t="s">
        <v>1626</v>
      </c>
      <c r="C280" s="172"/>
      <c r="D280" s="172" t="s">
        <v>9</v>
      </c>
      <c r="E280" s="190">
        <v>0</v>
      </c>
      <c r="F280" s="190">
        <v>0</v>
      </c>
      <c r="G280" s="190">
        <v>0</v>
      </c>
      <c r="H280" s="190">
        <v>0</v>
      </c>
      <c r="I280" s="330">
        <v>0</v>
      </c>
      <c r="J280" s="190">
        <v>0</v>
      </c>
    </row>
    <row r="281" spans="1:11" x14ac:dyDescent="0.25">
      <c r="A281" s="172"/>
      <c r="B281" s="185" t="s">
        <v>1627</v>
      </c>
      <c r="C281" s="172"/>
      <c r="D281" s="172" t="s">
        <v>9</v>
      </c>
      <c r="E281" s="190">
        <v>0</v>
      </c>
      <c r="F281" s="190">
        <v>0</v>
      </c>
      <c r="G281" s="190">
        <v>0</v>
      </c>
      <c r="H281" s="190">
        <v>0</v>
      </c>
      <c r="I281" s="330">
        <v>0</v>
      </c>
      <c r="J281" s="190">
        <v>0</v>
      </c>
    </row>
    <row r="282" spans="1:11" ht="57" x14ac:dyDescent="0.25">
      <c r="A282" s="182" t="s">
        <v>237</v>
      </c>
      <c r="B282" s="183" t="s">
        <v>238</v>
      </c>
      <c r="C282" s="171"/>
      <c r="D282" s="171"/>
      <c r="E282" s="171"/>
      <c r="F282" s="171"/>
      <c r="G282" s="171"/>
      <c r="H282" s="171"/>
      <c r="I282" s="317"/>
      <c r="J282" s="171"/>
    </row>
    <row r="283" spans="1:11" ht="75" x14ac:dyDescent="0.25">
      <c r="A283" s="172" t="s">
        <v>240</v>
      </c>
      <c r="B283" s="157" t="s">
        <v>1517</v>
      </c>
      <c r="C283" s="415" t="s">
        <v>239</v>
      </c>
      <c r="D283" s="172" t="s">
        <v>9</v>
      </c>
      <c r="E283" s="164">
        <f>E284/E285*100</f>
        <v>99.134199134199136</v>
      </c>
      <c r="F283" s="164">
        <f t="shared" ref="F283:J283" si="90">F284/F285*100</f>
        <v>98.084291187739453</v>
      </c>
      <c r="G283" s="164">
        <f t="shared" si="90"/>
        <v>97.942386831275712</v>
      </c>
      <c r="H283" s="164">
        <f t="shared" ref="H283" si="91">H284/H285*100</f>
        <v>99.134199134199136</v>
      </c>
      <c r="I283" s="318">
        <f t="shared" si="90"/>
        <v>99.126637554585145</v>
      </c>
      <c r="J283" s="164">
        <f t="shared" si="90"/>
        <v>99.00497512437812</v>
      </c>
      <c r="K283" s="173" t="s">
        <v>149</v>
      </c>
    </row>
    <row r="284" spans="1:11" ht="21.75" customHeight="1" x14ac:dyDescent="0.25">
      <c r="A284" s="171"/>
      <c r="B284" s="157" t="s">
        <v>1518</v>
      </c>
      <c r="C284" s="416"/>
      <c r="D284" s="415" t="s">
        <v>1076</v>
      </c>
      <c r="E284" s="162">
        <v>229</v>
      </c>
      <c r="F284" s="162">
        <v>256</v>
      </c>
      <c r="G284" s="162">
        <v>238</v>
      </c>
      <c r="H284" s="162">
        <v>229</v>
      </c>
      <c r="I284" s="322">
        <v>227</v>
      </c>
      <c r="J284" s="162">
        <v>199</v>
      </c>
      <c r="K284" s="173"/>
    </row>
    <row r="285" spans="1:11" ht="33" customHeight="1" x14ac:dyDescent="0.25">
      <c r="A285" s="171"/>
      <c r="B285" s="157" t="s">
        <v>1519</v>
      </c>
      <c r="C285" s="417"/>
      <c r="D285" s="416"/>
      <c r="E285" s="162">
        <v>231</v>
      </c>
      <c r="F285" s="162">
        <v>261</v>
      </c>
      <c r="G285" s="162">
        <v>243</v>
      </c>
      <c r="H285" s="162">
        <v>231</v>
      </c>
      <c r="I285" s="322">
        <v>229</v>
      </c>
      <c r="J285" s="162">
        <v>201</v>
      </c>
    </row>
    <row r="286" spans="1:11" ht="45" x14ac:dyDescent="0.25">
      <c r="A286" s="172" t="s">
        <v>241</v>
      </c>
      <c r="B286" s="157" t="s">
        <v>1281</v>
      </c>
      <c r="C286" s="415" t="s">
        <v>239</v>
      </c>
      <c r="D286" s="171"/>
      <c r="E286" s="165"/>
      <c r="F286" s="165"/>
      <c r="G286" s="165"/>
      <c r="H286" s="165"/>
      <c r="I286" s="320"/>
      <c r="J286" s="165"/>
    </row>
    <row r="287" spans="1:11" ht="17.25" customHeight="1" x14ac:dyDescent="0.25">
      <c r="A287" s="413"/>
      <c r="B287" s="213" t="s">
        <v>1520</v>
      </c>
      <c r="C287" s="416"/>
      <c r="D287" s="416" t="s">
        <v>1273</v>
      </c>
      <c r="E287" s="164"/>
      <c r="F287" s="164"/>
      <c r="G287" s="164"/>
      <c r="H287" s="164"/>
      <c r="I287" s="318"/>
      <c r="J287" s="164"/>
    </row>
    <row r="288" spans="1:11" x14ac:dyDescent="0.25">
      <c r="A288" s="414"/>
      <c r="B288" s="214" t="s">
        <v>1521</v>
      </c>
      <c r="C288" s="417"/>
      <c r="D288" s="417"/>
      <c r="E288" s="164"/>
      <c r="F288" s="164"/>
      <c r="G288" s="164"/>
      <c r="H288" s="164"/>
      <c r="I288" s="318"/>
      <c r="J288" s="164"/>
    </row>
    <row r="289" spans="1:11" ht="60" x14ac:dyDescent="0.25">
      <c r="A289" s="172" t="s">
        <v>244</v>
      </c>
      <c r="B289" s="157" t="s">
        <v>1280</v>
      </c>
      <c r="C289" s="415" t="s">
        <v>248</v>
      </c>
      <c r="D289" s="171"/>
      <c r="E289" s="165"/>
      <c r="F289" s="165"/>
      <c r="G289" s="165"/>
      <c r="H289" s="165"/>
      <c r="I289" s="320"/>
      <c r="J289" s="165"/>
      <c r="K289" s="173"/>
    </row>
    <row r="290" spans="1:11" x14ac:dyDescent="0.25">
      <c r="A290" s="413"/>
      <c r="B290" s="213" t="s">
        <v>242</v>
      </c>
      <c r="C290" s="416"/>
      <c r="D290" s="416" t="s">
        <v>1273</v>
      </c>
      <c r="E290" s="164">
        <v>32.590000000000003</v>
      </c>
      <c r="F290" s="164">
        <v>12.28</v>
      </c>
      <c r="G290" s="164">
        <v>30.64</v>
      </c>
      <c r="H290" s="164">
        <v>30.12</v>
      </c>
      <c r="I290" s="318">
        <v>29.35</v>
      </c>
      <c r="J290" s="164">
        <v>30.9</v>
      </c>
    </row>
    <row r="291" spans="1:11" x14ac:dyDescent="0.25">
      <c r="A291" s="414"/>
      <c r="B291" s="214" t="s">
        <v>243</v>
      </c>
      <c r="C291" s="417"/>
      <c r="D291" s="417"/>
      <c r="E291" s="164">
        <v>21.25</v>
      </c>
      <c r="F291" s="164">
        <v>29.28</v>
      </c>
      <c r="G291" s="164">
        <v>14.04</v>
      </c>
      <c r="H291" s="164">
        <v>15.24</v>
      </c>
      <c r="I291" s="318">
        <v>14.65</v>
      </c>
      <c r="J291" s="164">
        <v>14.7</v>
      </c>
    </row>
    <row r="292" spans="1:11" ht="75" x14ac:dyDescent="0.25">
      <c r="A292" s="172" t="s">
        <v>246</v>
      </c>
      <c r="B292" s="157" t="s">
        <v>1628</v>
      </c>
      <c r="C292" s="172"/>
      <c r="D292" s="171"/>
      <c r="E292" s="165"/>
      <c r="F292" s="165"/>
      <c r="G292" s="165"/>
      <c r="H292" s="165"/>
      <c r="I292" s="320"/>
      <c r="J292" s="165"/>
      <c r="K292" s="173" t="s">
        <v>149</v>
      </c>
    </row>
    <row r="293" spans="1:11" x14ac:dyDescent="0.25">
      <c r="A293" s="172"/>
      <c r="B293" s="157" t="s">
        <v>1629</v>
      </c>
      <c r="C293" s="172"/>
      <c r="D293" s="283" t="s">
        <v>9</v>
      </c>
      <c r="E293" s="164"/>
      <c r="F293" s="164"/>
      <c r="G293" s="164"/>
      <c r="H293" s="164"/>
      <c r="I293" s="318"/>
      <c r="J293" s="164"/>
    </row>
    <row r="294" spans="1:11" x14ac:dyDescent="0.25">
      <c r="A294" s="172"/>
      <c r="B294" s="157" t="s">
        <v>1630</v>
      </c>
      <c r="C294" s="172"/>
      <c r="D294" s="283" t="s">
        <v>9</v>
      </c>
      <c r="E294" s="164"/>
      <c r="F294" s="164"/>
      <c r="G294" s="164"/>
      <c r="H294" s="164"/>
      <c r="I294" s="318"/>
      <c r="J294" s="164"/>
    </row>
    <row r="295" spans="1:11" ht="30" x14ac:dyDescent="0.25">
      <c r="A295" s="412"/>
      <c r="B295" s="212" t="s">
        <v>1275</v>
      </c>
      <c r="C295" s="415" t="s">
        <v>239</v>
      </c>
      <c r="D295" s="415" t="s">
        <v>1076</v>
      </c>
      <c r="E295" s="165"/>
      <c r="F295" s="165"/>
      <c r="G295" s="165"/>
      <c r="H295" s="165"/>
      <c r="I295" s="320"/>
      <c r="J295" s="165"/>
    </row>
    <row r="296" spans="1:11" x14ac:dyDescent="0.25">
      <c r="A296" s="413"/>
      <c r="B296" s="213" t="s">
        <v>1278</v>
      </c>
      <c r="C296" s="416"/>
      <c r="D296" s="416" t="s">
        <v>1076</v>
      </c>
      <c r="E296" s="165">
        <v>2</v>
      </c>
      <c r="F296" s="165">
        <v>3</v>
      </c>
      <c r="G296" s="165">
        <v>4</v>
      </c>
      <c r="H296" s="165">
        <v>2</v>
      </c>
      <c r="I296" s="320">
        <v>2</v>
      </c>
      <c r="J296" s="165">
        <v>2</v>
      </c>
    </row>
    <row r="297" spans="1:11" x14ac:dyDescent="0.25">
      <c r="A297" s="414"/>
      <c r="B297" s="214" t="s">
        <v>1277</v>
      </c>
      <c r="C297" s="417"/>
      <c r="D297" s="417"/>
      <c r="E297" s="165">
        <v>2</v>
      </c>
      <c r="F297" s="165">
        <v>2</v>
      </c>
      <c r="G297" s="165">
        <v>3</v>
      </c>
      <c r="H297" s="165">
        <v>0</v>
      </c>
      <c r="I297" s="320">
        <v>1</v>
      </c>
      <c r="J297" s="165">
        <v>1</v>
      </c>
    </row>
    <row r="298" spans="1:11" ht="45" x14ac:dyDescent="0.25">
      <c r="A298" s="412"/>
      <c r="B298" s="212" t="s">
        <v>1282</v>
      </c>
      <c r="C298" s="415" t="s">
        <v>239</v>
      </c>
      <c r="D298" s="415" t="s">
        <v>1076</v>
      </c>
      <c r="E298" s="165"/>
      <c r="F298" s="165"/>
      <c r="G298" s="165"/>
      <c r="H298" s="165"/>
      <c r="I298" s="320"/>
      <c r="J298" s="165"/>
      <c r="K298" s="173"/>
    </row>
    <row r="299" spans="1:11" x14ac:dyDescent="0.25">
      <c r="A299" s="413"/>
      <c r="B299" s="213" t="s">
        <v>1278</v>
      </c>
      <c r="C299" s="416"/>
      <c r="D299" s="416" t="s">
        <v>1076</v>
      </c>
      <c r="E299" s="165">
        <v>231</v>
      </c>
      <c r="F299" s="165">
        <v>257</v>
      </c>
      <c r="G299" s="165">
        <v>243</v>
      </c>
      <c r="H299" s="165">
        <v>231</v>
      </c>
      <c r="I299" s="320">
        <v>229</v>
      </c>
      <c r="J299" s="165">
        <v>201</v>
      </c>
      <c r="K299" s="173"/>
    </row>
    <row r="300" spans="1:11" x14ac:dyDescent="0.25">
      <c r="A300" s="414"/>
      <c r="B300" s="214" t="s">
        <v>1277</v>
      </c>
      <c r="C300" s="417"/>
      <c r="D300" s="417"/>
      <c r="E300" s="165">
        <v>231</v>
      </c>
      <c r="F300" s="165">
        <v>257</v>
      </c>
      <c r="G300" s="165">
        <v>243</v>
      </c>
      <c r="H300" s="165">
        <v>231</v>
      </c>
      <c r="I300" s="320">
        <v>229</v>
      </c>
      <c r="J300" s="165">
        <v>201</v>
      </c>
      <c r="K300" s="173"/>
    </row>
    <row r="301" spans="1:11" ht="75" x14ac:dyDescent="0.25">
      <c r="A301" s="172" t="s">
        <v>249</v>
      </c>
      <c r="B301" s="157" t="s">
        <v>1276</v>
      </c>
      <c r="C301" s="172"/>
      <c r="D301" s="171"/>
      <c r="E301" s="165"/>
      <c r="F301" s="165"/>
      <c r="G301" s="165"/>
      <c r="H301" s="165"/>
      <c r="I301" s="320"/>
      <c r="J301" s="165"/>
      <c r="K301" s="173" t="s">
        <v>149</v>
      </c>
    </row>
    <row r="302" spans="1:11" x14ac:dyDescent="0.25">
      <c r="A302" s="172"/>
      <c r="B302" s="185" t="s">
        <v>1278</v>
      </c>
      <c r="C302" s="172"/>
      <c r="D302" s="283" t="s">
        <v>9</v>
      </c>
      <c r="E302" s="164">
        <f t="shared" ref="E302:G303" si="92">E305/E308*100</f>
        <v>0</v>
      </c>
      <c r="F302" s="164">
        <f t="shared" si="92"/>
        <v>1.0810810810810811</v>
      </c>
      <c r="G302" s="164">
        <f t="shared" si="92"/>
        <v>2.1390374331550799</v>
      </c>
      <c r="H302" s="164">
        <v>0</v>
      </c>
      <c r="I302" s="318">
        <v>0</v>
      </c>
      <c r="J302" s="164">
        <v>0</v>
      </c>
      <c r="K302" s="174">
        <v>0</v>
      </c>
    </row>
    <row r="303" spans="1:11" x14ac:dyDescent="0.25">
      <c r="A303" s="172"/>
      <c r="B303" s="185" t="s">
        <v>1277</v>
      </c>
      <c r="C303" s="172"/>
      <c r="D303" s="283" t="s">
        <v>9</v>
      </c>
      <c r="E303" s="164">
        <f t="shared" si="92"/>
        <v>0</v>
      </c>
      <c r="F303" s="164">
        <f t="shared" si="92"/>
        <v>1.0810810810810811</v>
      </c>
      <c r="G303" s="164">
        <f t="shared" si="92"/>
        <v>2.1390374331550799</v>
      </c>
      <c r="H303" s="164">
        <v>0</v>
      </c>
      <c r="I303" s="318">
        <v>0</v>
      </c>
      <c r="J303" s="164">
        <v>0</v>
      </c>
    </row>
    <row r="304" spans="1:11" ht="30" x14ac:dyDescent="0.25">
      <c r="A304" s="412"/>
      <c r="B304" s="212" t="s">
        <v>1279</v>
      </c>
      <c r="C304" s="415" t="s">
        <v>248</v>
      </c>
      <c r="D304" s="415" t="s">
        <v>1076</v>
      </c>
      <c r="E304" s="165"/>
      <c r="F304" s="165"/>
      <c r="G304" s="165"/>
      <c r="H304" s="165"/>
      <c r="I304" s="320"/>
      <c r="J304" s="165"/>
    </row>
    <row r="305" spans="1:11" x14ac:dyDescent="0.25">
      <c r="A305" s="413"/>
      <c r="B305" s="213" t="s">
        <v>1278</v>
      </c>
      <c r="C305" s="416"/>
      <c r="D305" s="416" t="s">
        <v>1076</v>
      </c>
      <c r="E305" s="165">
        <v>0</v>
      </c>
      <c r="F305" s="165">
        <v>4</v>
      </c>
      <c r="G305" s="165">
        <v>8</v>
      </c>
      <c r="H305" s="165">
        <v>0</v>
      </c>
      <c r="I305" s="320">
        <v>0</v>
      </c>
      <c r="J305" s="165">
        <v>0</v>
      </c>
    </row>
    <row r="306" spans="1:11" x14ac:dyDescent="0.25">
      <c r="A306" s="414"/>
      <c r="B306" s="214" t="s">
        <v>1277</v>
      </c>
      <c r="C306" s="417"/>
      <c r="D306" s="417" t="s">
        <v>1076</v>
      </c>
      <c r="E306" s="165">
        <v>0</v>
      </c>
      <c r="F306" s="165">
        <v>4</v>
      </c>
      <c r="G306" s="165">
        <v>8</v>
      </c>
      <c r="H306" s="165">
        <v>0</v>
      </c>
      <c r="I306" s="320">
        <v>0</v>
      </c>
      <c r="J306" s="165">
        <v>0</v>
      </c>
    </row>
    <row r="307" spans="1:11" ht="45" x14ac:dyDescent="0.25">
      <c r="A307" s="412"/>
      <c r="B307" s="212" t="s">
        <v>1283</v>
      </c>
      <c r="C307" s="415" t="s">
        <v>248</v>
      </c>
      <c r="D307" s="415" t="s">
        <v>1076</v>
      </c>
      <c r="E307" s="165"/>
      <c r="F307" s="165"/>
      <c r="G307" s="165"/>
      <c r="H307" s="165"/>
      <c r="I307" s="320"/>
      <c r="J307" s="165"/>
    </row>
    <row r="308" spans="1:11" x14ac:dyDescent="0.25">
      <c r="A308" s="413"/>
      <c r="B308" s="157" t="s">
        <v>1278</v>
      </c>
      <c r="C308" s="416"/>
      <c r="D308" s="416"/>
      <c r="E308" s="165">
        <v>376</v>
      </c>
      <c r="F308" s="165">
        <v>370</v>
      </c>
      <c r="G308" s="165">
        <v>374</v>
      </c>
      <c r="H308" s="165">
        <v>335</v>
      </c>
      <c r="I308" s="320">
        <v>392</v>
      </c>
      <c r="J308" s="165">
        <v>422</v>
      </c>
      <c r="K308" s="173"/>
    </row>
    <row r="309" spans="1:11" ht="18.75" customHeight="1" x14ac:dyDescent="0.25">
      <c r="A309" s="414"/>
      <c r="B309" s="157" t="s">
        <v>1277</v>
      </c>
      <c r="C309" s="417"/>
      <c r="D309" s="417"/>
      <c r="E309" s="165">
        <v>376</v>
      </c>
      <c r="F309" s="165">
        <v>370</v>
      </c>
      <c r="G309" s="165">
        <v>374</v>
      </c>
      <c r="H309" s="165">
        <v>335</v>
      </c>
      <c r="I309" s="320">
        <v>392</v>
      </c>
      <c r="J309" s="165">
        <v>422</v>
      </c>
      <c r="K309" s="173"/>
    </row>
    <row r="310" spans="1:11" ht="114" x14ac:dyDescent="0.25">
      <c r="A310" s="182" t="s">
        <v>251</v>
      </c>
      <c r="B310" s="183" t="s">
        <v>250</v>
      </c>
      <c r="C310" s="171"/>
      <c r="D310" s="171"/>
      <c r="E310" s="171"/>
      <c r="F310" s="171"/>
      <c r="G310" s="171"/>
      <c r="H310" s="171"/>
      <c r="I310" s="317"/>
      <c r="J310" s="171"/>
      <c r="K310" s="173"/>
    </row>
    <row r="311" spans="1:11" ht="74.25" customHeight="1" x14ac:dyDescent="0.25">
      <c r="A311" s="172" t="s">
        <v>253</v>
      </c>
      <c r="B311" s="157" t="s">
        <v>1631</v>
      </c>
      <c r="C311" s="171"/>
      <c r="D311" s="172"/>
      <c r="E311" s="210"/>
      <c r="F311" s="210"/>
      <c r="G311" s="210"/>
      <c r="H311" s="210"/>
      <c r="I311" s="328"/>
      <c r="J311" s="210"/>
      <c r="K311" s="173" t="s">
        <v>149</v>
      </c>
    </row>
    <row r="312" spans="1:11" x14ac:dyDescent="0.25">
      <c r="A312" s="184"/>
      <c r="B312" s="185" t="s">
        <v>1333</v>
      </c>
      <c r="C312" s="171"/>
      <c r="D312" s="172" t="s">
        <v>9</v>
      </c>
      <c r="E312" s="164">
        <f t="shared" ref="E312:J312" si="93">(E314+E315+E318)/(E319+E321)*100</f>
        <v>98.931575358035914</v>
      </c>
      <c r="F312" s="164">
        <f t="shared" si="93"/>
        <v>99.361313868613138</v>
      </c>
      <c r="G312" s="164">
        <f t="shared" si="93"/>
        <v>99.33065595716198</v>
      </c>
      <c r="H312" s="164">
        <f t="shared" si="93"/>
        <v>98.952996212965033</v>
      </c>
      <c r="I312" s="318">
        <f t="shared" si="93"/>
        <v>99.424141749723148</v>
      </c>
      <c r="J312" s="164">
        <f t="shared" si="93"/>
        <v>99.468085106382972</v>
      </c>
    </row>
    <row r="313" spans="1:11" x14ac:dyDescent="0.25">
      <c r="A313" s="184"/>
      <c r="B313" s="185" t="s">
        <v>1335</v>
      </c>
      <c r="C313" s="171"/>
      <c r="D313" s="172" t="s">
        <v>9</v>
      </c>
      <c r="E313" s="164" t="e">
        <f t="shared" ref="E313:J313" si="94">(E316+E317)/(E320)*100</f>
        <v>#DIV/0!</v>
      </c>
      <c r="F313" s="164" t="e">
        <f t="shared" si="94"/>
        <v>#DIV/0!</v>
      </c>
      <c r="G313" s="164" t="e">
        <f t="shared" si="94"/>
        <v>#DIV/0!</v>
      </c>
      <c r="H313" s="164" t="e">
        <f t="shared" si="94"/>
        <v>#DIV/0!</v>
      </c>
      <c r="I313" s="318" t="e">
        <f t="shared" si="94"/>
        <v>#DIV/0!</v>
      </c>
      <c r="J313" s="164" t="e">
        <f t="shared" si="94"/>
        <v>#DIV/0!</v>
      </c>
    </row>
    <row r="314" spans="1:11" ht="30" customHeight="1" x14ac:dyDescent="0.25">
      <c r="A314" s="211"/>
      <c r="B314" s="431" t="s">
        <v>1631</v>
      </c>
      <c r="C314" s="172" t="s">
        <v>1341</v>
      </c>
      <c r="D314" s="415" t="s">
        <v>1076</v>
      </c>
      <c r="E314" s="181">
        <v>2344</v>
      </c>
      <c r="F314" s="181">
        <v>2348</v>
      </c>
      <c r="G314" s="181">
        <v>2023</v>
      </c>
      <c r="H314" s="181">
        <v>2404</v>
      </c>
      <c r="I314" s="319">
        <v>2453</v>
      </c>
      <c r="J314" s="181">
        <v>2495</v>
      </c>
    </row>
    <row r="315" spans="1:11" ht="50.25" customHeight="1" x14ac:dyDescent="0.25">
      <c r="A315" s="213"/>
      <c r="B315" s="432"/>
      <c r="C315" s="172" t="s">
        <v>1342</v>
      </c>
      <c r="D315" s="416"/>
      <c r="E315" s="181">
        <v>2008</v>
      </c>
      <c r="F315" s="181">
        <v>2008</v>
      </c>
      <c r="G315" s="181">
        <v>2429</v>
      </c>
      <c r="H315" s="181">
        <v>2038</v>
      </c>
      <c r="I315" s="319">
        <v>2036</v>
      </c>
      <c r="J315" s="181">
        <v>1993</v>
      </c>
    </row>
    <row r="316" spans="1:11" ht="3" hidden="1" customHeight="1" x14ac:dyDescent="0.25">
      <c r="A316" s="213"/>
      <c r="B316" s="213"/>
      <c r="C316" s="172" t="s">
        <v>1343</v>
      </c>
      <c r="D316" s="415" t="s">
        <v>1076</v>
      </c>
      <c r="E316" s="181">
        <v>0</v>
      </c>
      <c r="F316" s="181">
        <v>0</v>
      </c>
      <c r="G316" s="181">
        <v>0</v>
      </c>
      <c r="H316" s="181">
        <v>0</v>
      </c>
      <c r="I316" s="319">
        <v>0</v>
      </c>
      <c r="J316" s="181"/>
    </row>
    <row r="317" spans="1:11" ht="75" hidden="1" x14ac:dyDescent="0.25">
      <c r="A317" s="214"/>
      <c r="B317" s="214"/>
      <c r="C317" s="172" t="s">
        <v>1344</v>
      </c>
      <c r="D317" s="417"/>
      <c r="E317" s="181">
        <v>0</v>
      </c>
      <c r="F317" s="181">
        <v>0</v>
      </c>
      <c r="G317" s="181">
        <v>0</v>
      </c>
      <c r="H317" s="181">
        <v>0</v>
      </c>
      <c r="I317" s="319">
        <v>0</v>
      </c>
      <c r="J317" s="181"/>
    </row>
    <row r="318" spans="1:11" ht="50.25" customHeight="1" x14ac:dyDescent="0.25">
      <c r="A318" s="171"/>
      <c r="B318" s="157" t="s">
        <v>254</v>
      </c>
      <c r="C318" s="172" t="s">
        <v>255</v>
      </c>
      <c r="D318" s="172" t="s">
        <v>1076</v>
      </c>
      <c r="E318" s="181">
        <v>0</v>
      </c>
      <c r="F318" s="181">
        <v>0</v>
      </c>
      <c r="G318" s="181">
        <v>0</v>
      </c>
      <c r="H318" s="181">
        <v>0</v>
      </c>
      <c r="I318" s="319">
        <v>0</v>
      </c>
      <c r="J318" s="181">
        <v>0</v>
      </c>
      <c r="K318" s="173"/>
    </row>
    <row r="319" spans="1:11" ht="75" customHeight="1" x14ac:dyDescent="0.25">
      <c r="A319" s="412"/>
      <c r="B319" s="422" t="s">
        <v>256</v>
      </c>
      <c r="C319" s="172" t="s">
        <v>1632</v>
      </c>
      <c r="D319" s="415" t="s">
        <v>1076</v>
      </c>
      <c r="E319" s="181">
        <v>4352</v>
      </c>
      <c r="F319" s="181">
        <v>4358</v>
      </c>
      <c r="G319" s="181">
        <v>4453</v>
      </c>
      <c r="H319" s="181">
        <v>4456</v>
      </c>
      <c r="I319" s="319">
        <v>4489</v>
      </c>
      <c r="J319" s="181">
        <v>4488</v>
      </c>
    </row>
    <row r="320" spans="1:11" x14ac:dyDescent="0.25">
      <c r="A320" s="414"/>
      <c r="B320" s="424"/>
      <c r="C320" s="172" t="s">
        <v>1634</v>
      </c>
      <c r="D320" s="416"/>
      <c r="E320" s="181">
        <v>0</v>
      </c>
      <c r="F320" s="181">
        <v>0</v>
      </c>
      <c r="G320" s="181">
        <v>0</v>
      </c>
      <c r="H320" s="181">
        <v>0</v>
      </c>
      <c r="I320" s="319">
        <v>0</v>
      </c>
      <c r="J320" s="181">
        <v>0</v>
      </c>
    </row>
    <row r="321" spans="1:11" ht="30" x14ac:dyDescent="0.25">
      <c r="A321" s="171"/>
      <c r="B321" s="157" t="s">
        <v>138</v>
      </c>
      <c r="C321" s="172" t="s">
        <v>1633</v>
      </c>
      <c r="D321" s="172" t="s">
        <v>1076</v>
      </c>
      <c r="E321" s="181">
        <v>47</v>
      </c>
      <c r="F321" s="181">
        <v>26</v>
      </c>
      <c r="G321" s="181">
        <v>29</v>
      </c>
      <c r="H321" s="181">
        <v>33</v>
      </c>
      <c r="I321" s="319">
        <v>26</v>
      </c>
      <c r="J321" s="181">
        <v>24</v>
      </c>
    </row>
    <row r="322" spans="1:11" ht="48" customHeight="1" x14ac:dyDescent="0.25">
      <c r="A322" s="172" t="s">
        <v>257</v>
      </c>
      <c r="B322" s="157" t="s">
        <v>258</v>
      </c>
      <c r="C322" s="172"/>
      <c r="D322" s="172"/>
      <c r="E322" s="164"/>
      <c r="F322" s="164"/>
      <c r="G322" s="164"/>
      <c r="H322" s="164"/>
      <c r="I322" s="318"/>
      <c r="J322" s="164"/>
      <c r="K322" s="173" t="s">
        <v>149</v>
      </c>
    </row>
    <row r="323" spans="1:11" x14ac:dyDescent="0.25">
      <c r="A323" s="184"/>
      <c r="B323" s="185" t="s">
        <v>1333</v>
      </c>
      <c r="C323" s="172"/>
      <c r="D323" s="172" t="s">
        <v>9</v>
      </c>
      <c r="E323" s="164">
        <f t="shared" ref="E323:J323" si="95">(E325+E326)/(E329+E330)*100</f>
        <v>18.181818181818183</v>
      </c>
      <c r="F323" s="164">
        <f t="shared" si="95"/>
        <v>18.181818181818183</v>
      </c>
      <c r="G323" s="164">
        <f t="shared" si="95"/>
        <v>23.809523809523807</v>
      </c>
      <c r="H323" s="164">
        <f t="shared" si="95"/>
        <v>25</v>
      </c>
      <c r="I323" s="318">
        <f t="shared" si="95"/>
        <v>26.315789473684209</v>
      </c>
      <c r="J323" s="164">
        <f t="shared" si="95"/>
        <v>33.333333333333329</v>
      </c>
    </row>
    <row r="324" spans="1:11" x14ac:dyDescent="0.25">
      <c r="A324" s="184"/>
      <c r="B324" s="185" t="s">
        <v>1335</v>
      </c>
      <c r="C324" s="172"/>
      <c r="D324" s="172" t="s">
        <v>9</v>
      </c>
      <c r="E324" s="164" t="e">
        <f t="shared" ref="E324:J324" si="96">(E327+E328)/(E331+E332)*100</f>
        <v>#DIV/0!</v>
      </c>
      <c r="F324" s="164" t="e">
        <f t="shared" si="96"/>
        <v>#DIV/0!</v>
      </c>
      <c r="G324" s="164" t="e">
        <f t="shared" si="96"/>
        <v>#DIV/0!</v>
      </c>
      <c r="H324" s="164" t="e">
        <f t="shared" si="96"/>
        <v>#DIV/0!</v>
      </c>
      <c r="I324" s="318" t="e">
        <f t="shared" si="96"/>
        <v>#DIV/0!</v>
      </c>
      <c r="J324" s="164" t="e">
        <f t="shared" si="96"/>
        <v>#DIV/0!</v>
      </c>
    </row>
    <row r="325" spans="1:11" ht="30" customHeight="1" x14ac:dyDescent="0.25">
      <c r="A325" s="418"/>
      <c r="B325" s="422" t="s">
        <v>259</v>
      </c>
      <c r="C325" s="172" t="s">
        <v>1635</v>
      </c>
      <c r="D325" s="415" t="s">
        <v>1268</v>
      </c>
      <c r="E325" s="190">
        <v>0</v>
      </c>
      <c r="F325" s="190">
        <v>0</v>
      </c>
      <c r="G325" s="190">
        <v>1</v>
      </c>
      <c r="H325" s="190">
        <v>5</v>
      </c>
      <c r="I325" s="330">
        <v>5</v>
      </c>
      <c r="J325" s="383">
        <v>4</v>
      </c>
    </row>
    <row r="326" spans="1:11" x14ac:dyDescent="0.25">
      <c r="A326" s="419"/>
      <c r="B326" s="423"/>
      <c r="C326" s="172" t="s">
        <v>1635</v>
      </c>
      <c r="D326" s="416"/>
      <c r="E326" s="190">
        <v>4</v>
      </c>
      <c r="F326" s="190">
        <v>4</v>
      </c>
      <c r="G326" s="190">
        <v>4</v>
      </c>
      <c r="H326" s="190">
        <v>0</v>
      </c>
      <c r="I326" s="330">
        <v>0</v>
      </c>
      <c r="J326" s="190">
        <v>2</v>
      </c>
      <c r="K326" s="173"/>
    </row>
    <row r="327" spans="1:11" ht="0.75" customHeight="1" x14ac:dyDescent="0.25">
      <c r="A327" s="419"/>
      <c r="B327" s="423"/>
      <c r="C327" s="172"/>
      <c r="D327" s="415" t="s">
        <v>1268</v>
      </c>
      <c r="E327" s="190">
        <v>0</v>
      </c>
      <c r="F327" s="190">
        <v>0</v>
      </c>
      <c r="G327" s="190">
        <v>0</v>
      </c>
      <c r="H327" s="190">
        <v>0</v>
      </c>
      <c r="I327" s="330">
        <v>0</v>
      </c>
      <c r="J327" s="190"/>
      <c r="K327" s="173"/>
    </row>
    <row r="328" spans="1:11" hidden="1" x14ac:dyDescent="0.25">
      <c r="A328" s="420"/>
      <c r="B328" s="424"/>
      <c r="C328" s="172"/>
      <c r="D328" s="416"/>
      <c r="E328" s="190">
        <v>0</v>
      </c>
      <c r="F328" s="190">
        <v>0</v>
      </c>
      <c r="G328" s="190">
        <v>0</v>
      </c>
      <c r="H328" s="190">
        <v>0</v>
      </c>
      <c r="I328" s="330">
        <v>0</v>
      </c>
      <c r="J328" s="190"/>
      <c r="K328" s="173"/>
    </row>
    <row r="329" spans="1:11" ht="51.75" customHeight="1" x14ac:dyDescent="0.25">
      <c r="A329" s="418"/>
      <c r="B329" s="422" t="s">
        <v>206</v>
      </c>
      <c r="C329" s="172" t="s">
        <v>1635</v>
      </c>
      <c r="D329" s="275" t="s">
        <v>1268</v>
      </c>
      <c r="E329" s="181">
        <v>22</v>
      </c>
      <c r="F329" s="181">
        <v>22</v>
      </c>
      <c r="G329" s="181">
        <v>21</v>
      </c>
      <c r="H329" s="181">
        <v>20</v>
      </c>
      <c r="I329" s="319">
        <v>19</v>
      </c>
      <c r="J329" s="181">
        <v>18</v>
      </c>
    </row>
    <row r="330" spans="1:11" hidden="1" x14ac:dyDescent="0.25">
      <c r="A330" s="419"/>
      <c r="B330" s="423"/>
      <c r="C330" s="172"/>
      <c r="D330" s="284"/>
      <c r="E330" s="181">
        <v>0</v>
      </c>
      <c r="F330" s="181">
        <v>0</v>
      </c>
      <c r="G330" s="181">
        <v>0</v>
      </c>
      <c r="H330" s="181">
        <v>0</v>
      </c>
      <c r="I330" s="319">
        <v>0</v>
      </c>
      <c r="J330" s="181"/>
    </row>
    <row r="331" spans="1:11" hidden="1" x14ac:dyDescent="0.25">
      <c r="A331" s="419"/>
      <c r="B331" s="423"/>
      <c r="C331" s="172"/>
      <c r="D331" s="415"/>
      <c r="E331" s="181">
        <v>0</v>
      </c>
      <c r="F331" s="181">
        <v>0</v>
      </c>
      <c r="G331" s="181">
        <v>0</v>
      </c>
      <c r="H331" s="181">
        <v>0</v>
      </c>
      <c r="I331" s="319">
        <v>0</v>
      </c>
      <c r="J331" s="181"/>
    </row>
    <row r="332" spans="1:11" hidden="1" x14ac:dyDescent="0.25">
      <c r="A332" s="420"/>
      <c r="B332" s="424"/>
      <c r="C332" s="172"/>
      <c r="D332" s="416"/>
      <c r="E332" s="181">
        <v>0</v>
      </c>
      <c r="F332" s="181">
        <v>0</v>
      </c>
      <c r="G332" s="181">
        <v>0</v>
      </c>
      <c r="H332" s="181">
        <v>0</v>
      </c>
      <c r="I332" s="319">
        <v>0</v>
      </c>
      <c r="J332" s="181"/>
    </row>
    <row r="333" spans="1:11" ht="35.25" customHeight="1" x14ac:dyDescent="0.25">
      <c r="A333" s="172" t="s">
        <v>261</v>
      </c>
      <c r="B333" s="157" t="s">
        <v>262</v>
      </c>
      <c r="C333" s="172"/>
      <c r="D333" s="172"/>
      <c r="E333" s="210"/>
      <c r="F333" s="210"/>
      <c r="G333" s="210"/>
      <c r="H333" s="210"/>
      <c r="I333" s="328"/>
      <c r="J333" s="210"/>
      <c r="K333" s="173" t="s">
        <v>149</v>
      </c>
    </row>
    <row r="334" spans="1:11" x14ac:dyDescent="0.25">
      <c r="A334" s="184"/>
      <c r="B334" s="185" t="s">
        <v>1333</v>
      </c>
      <c r="C334" s="172"/>
      <c r="D334" s="172" t="s">
        <v>9</v>
      </c>
      <c r="E334" s="164">
        <f t="shared" ref="E334:J334" si="97">(E336+E337+E340)/(E341+E345+E342)*100</f>
        <v>95.652173913043484</v>
      </c>
      <c r="F334" s="164">
        <f t="shared" si="97"/>
        <v>95.454545454545453</v>
      </c>
      <c r="G334" s="164">
        <f t="shared" si="97"/>
        <v>90.476190476190482</v>
      </c>
      <c r="H334" s="164">
        <f t="shared" si="97"/>
        <v>90</v>
      </c>
      <c r="I334" s="318">
        <f t="shared" si="97"/>
        <v>94.73684210526315</v>
      </c>
      <c r="J334" s="164">
        <f t="shared" si="97"/>
        <v>100</v>
      </c>
    </row>
    <row r="335" spans="1:11" x14ac:dyDescent="0.25">
      <c r="A335" s="184"/>
      <c r="B335" s="185" t="s">
        <v>1335</v>
      </c>
      <c r="C335" s="172"/>
      <c r="D335" s="172" t="s">
        <v>9</v>
      </c>
      <c r="E335" s="164" t="e">
        <f t="shared" ref="E335:J335" si="98">(E338+E339)/(E343+E344)*100</f>
        <v>#DIV/0!</v>
      </c>
      <c r="F335" s="164" t="e">
        <f t="shared" si="98"/>
        <v>#DIV/0!</v>
      </c>
      <c r="G335" s="164" t="e">
        <f t="shared" si="98"/>
        <v>#DIV/0!</v>
      </c>
      <c r="H335" s="164" t="e">
        <f t="shared" si="98"/>
        <v>#DIV/0!</v>
      </c>
      <c r="I335" s="318" t="e">
        <f t="shared" si="98"/>
        <v>#DIV/0!</v>
      </c>
      <c r="J335" s="164" t="e">
        <f t="shared" si="98"/>
        <v>#DIV/0!</v>
      </c>
    </row>
    <row r="336" spans="1:11" ht="18.75" customHeight="1" x14ac:dyDescent="0.25">
      <c r="A336" s="418"/>
      <c r="B336" s="422" t="s">
        <v>263</v>
      </c>
      <c r="C336" s="172" t="s">
        <v>1634</v>
      </c>
      <c r="D336" s="415" t="s">
        <v>1268</v>
      </c>
      <c r="E336" s="165">
        <v>5</v>
      </c>
      <c r="F336" s="165">
        <v>5</v>
      </c>
      <c r="G336" s="165">
        <v>5</v>
      </c>
      <c r="H336" s="165">
        <v>5</v>
      </c>
      <c r="I336" s="320">
        <v>5</v>
      </c>
      <c r="J336" s="382">
        <v>5</v>
      </c>
    </row>
    <row r="337" spans="1:11" x14ac:dyDescent="0.25">
      <c r="A337" s="419"/>
      <c r="B337" s="423"/>
      <c r="C337" s="172" t="s">
        <v>1634</v>
      </c>
      <c r="D337" s="416"/>
      <c r="E337" s="165">
        <v>17</v>
      </c>
      <c r="F337" s="165">
        <v>16</v>
      </c>
      <c r="G337" s="165">
        <v>14</v>
      </c>
      <c r="H337" s="165">
        <v>13</v>
      </c>
      <c r="I337" s="320">
        <v>13</v>
      </c>
      <c r="J337" s="382">
        <v>13</v>
      </c>
    </row>
    <row r="338" spans="1:11" x14ac:dyDescent="0.25">
      <c r="A338" s="419"/>
      <c r="B338" s="423"/>
      <c r="C338" s="172" t="s">
        <v>1634</v>
      </c>
      <c r="D338" s="415" t="s">
        <v>1268</v>
      </c>
      <c r="E338" s="165">
        <v>0</v>
      </c>
      <c r="F338" s="165">
        <v>0</v>
      </c>
      <c r="G338" s="165">
        <v>0</v>
      </c>
      <c r="H338" s="165">
        <v>0</v>
      </c>
      <c r="I338" s="320">
        <v>0</v>
      </c>
      <c r="J338" s="382">
        <v>0</v>
      </c>
    </row>
    <row r="339" spans="1:11" x14ac:dyDescent="0.25">
      <c r="A339" s="420"/>
      <c r="B339" s="424"/>
      <c r="C339" s="172" t="s">
        <v>1634</v>
      </c>
      <c r="D339" s="416"/>
      <c r="E339" s="165">
        <v>0</v>
      </c>
      <c r="F339" s="165">
        <v>0</v>
      </c>
      <c r="G339" s="165">
        <v>0</v>
      </c>
      <c r="H339" s="165">
        <v>0</v>
      </c>
      <c r="I339" s="320">
        <v>0</v>
      </c>
      <c r="J339" s="382">
        <v>0</v>
      </c>
    </row>
    <row r="340" spans="1:11" ht="30" x14ac:dyDescent="0.25">
      <c r="A340" s="172"/>
      <c r="B340" s="157" t="s">
        <v>264</v>
      </c>
      <c r="C340" s="172" t="s">
        <v>1633</v>
      </c>
      <c r="D340" s="172" t="s">
        <v>1268</v>
      </c>
      <c r="E340" s="165">
        <v>0</v>
      </c>
      <c r="F340" s="165">
        <v>0</v>
      </c>
      <c r="G340" s="165">
        <v>0</v>
      </c>
      <c r="H340" s="165">
        <v>0</v>
      </c>
      <c r="I340" s="320">
        <v>0</v>
      </c>
      <c r="J340" s="382">
        <v>0</v>
      </c>
    </row>
    <row r="341" spans="1:11" x14ac:dyDescent="0.25">
      <c r="A341" s="418"/>
      <c r="B341" s="422" t="s">
        <v>206</v>
      </c>
      <c r="C341" s="172" t="s">
        <v>1634</v>
      </c>
      <c r="D341" s="415" t="s">
        <v>1268</v>
      </c>
      <c r="E341" s="165">
        <v>5</v>
      </c>
      <c r="F341" s="165">
        <v>5</v>
      </c>
      <c r="G341" s="165">
        <v>5</v>
      </c>
      <c r="H341" s="165">
        <v>5</v>
      </c>
      <c r="I341" s="320">
        <v>5</v>
      </c>
      <c r="J341" s="382">
        <v>5</v>
      </c>
      <c r="K341" s="173"/>
    </row>
    <row r="342" spans="1:11" x14ac:dyDescent="0.25">
      <c r="A342" s="419"/>
      <c r="B342" s="423"/>
      <c r="C342" s="172" t="s">
        <v>1634</v>
      </c>
      <c r="D342" s="416"/>
      <c r="E342" s="165">
        <v>18</v>
      </c>
      <c r="F342" s="165">
        <v>17</v>
      </c>
      <c r="G342" s="165">
        <v>16</v>
      </c>
      <c r="H342" s="165">
        <v>15</v>
      </c>
      <c r="I342" s="320">
        <v>14</v>
      </c>
      <c r="J342" s="382">
        <v>13</v>
      </c>
    </row>
    <row r="343" spans="1:11" x14ac:dyDescent="0.25">
      <c r="A343" s="419"/>
      <c r="B343" s="423"/>
      <c r="C343" s="172" t="s">
        <v>1634</v>
      </c>
      <c r="D343" s="415" t="s">
        <v>1268</v>
      </c>
      <c r="E343" s="165">
        <v>0</v>
      </c>
      <c r="F343" s="165">
        <v>0</v>
      </c>
      <c r="G343" s="165">
        <v>0</v>
      </c>
      <c r="H343" s="165">
        <v>0</v>
      </c>
      <c r="I343" s="320">
        <v>0</v>
      </c>
      <c r="J343" s="382">
        <v>0</v>
      </c>
    </row>
    <row r="344" spans="1:11" x14ac:dyDescent="0.25">
      <c r="A344" s="420"/>
      <c r="B344" s="424"/>
      <c r="C344" s="172" t="s">
        <v>1634</v>
      </c>
      <c r="D344" s="416"/>
      <c r="E344" s="165">
        <v>0</v>
      </c>
      <c r="F344" s="165">
        <v>0</v>
      </c>
      <c r="G344" s="165">
        <v>0</v>
      </c>
      <c r="H344" s="165">
        <v>0</v>
      </c>
      <c r="I344" s="320">
        <v>0</v>
      </c>
      <c r="J344" s="382">
        <v>0</v>
      </c>
    </row>
    <row r="345" spans="1:11" ht="30" x14ac:dyDescent="0.25">
      <c r="A345" s="172"/>
      <c r="B345" s="157" t="s">
        <v>226</v>
      </c>
      <c r="C345" s="172" t="s">
        <v>1633</v>
      </c>
      <c r="D345" s="172" t="s">
        <v>1268</v>
      </c>
      <c r="E345" s="165">
        <v>0</v>
      </c>
      <c r="F345" s="165">
        <v>0</v>
      </c>
      <c r="G345" s="165">
        <v>0</v>
      </c>
      <c r="H345" s="165">
        <v>0</v>
      </c>
      <c r="I345" s="320">
        <v>0</v>
      </c>
      <c r="J345" s="382">
        <v>0</v>
      </c>
    </row>
    <row r="346" spans="1:11" ht="35.25" customHeight="1" x14ac:dyDescent="0.25">
      <c r="A346" s="172" t="s">
        <v>265</v>
      </c>
      <c r="B346" s="157" t="s">
        <v>266</v>
      </c>
      <c r="C346" s="172"/>
      <c r="D346" s="172"/>
      <c r="E346" s="210"/>
      <c r="F346" s="210"/>
      <c r="G346" s="210"/>
      <c r="H346" s="210"/>
      <c r="I346" s="328"/>
      <c r="J346" s="210"/>
      <c r="K346" s="173" t="s">
        <v>200</v>
      </c>
    </row>
    <row r="347" spans="1:11" x14ac:dyDescent="0.25">
      <c r="A347" s="184"/>
      <c r="B347" s="185" t="s">
        <v>1333</v>
      </c>
      <c r="C347" s="172"/>
      <c r="D347" s="172" t="s">
        <v>9</v>
      </c>
      <c r="E347" s="164">
        <f>(E349+E350+E353)/(E354+E355+E358)*100</f>
        <v>0</v>
      </c>
      <c r="F347" s="164">
        <f>(F349+F350+F353)/(F354+F355+F358)*100</f>
        <v>0</v>
      </c>
      <c r="G347" s="164">
        <f>(G349+G350+G353)/(G354+G355+G358)*100</f>
        <v>0</v>
      </c>
      <c r="H347" s="164">
        <f>(H349+H350+H353)/(H354+H355+H358)*100</f>
        <v>0</v>
      </c>
      <c r="I347" s="318">
        <f>(I349+I350+I353)/(I354+I355+I358)*100</f>
        <v>0</v>
      </c>
      <c r="J347" s="164">
        <v>0</v>
      </c>
    </row>
    <row r="348" spans="1:11" x14ac:dyDescent="0.25">
      <c r="A348" s="184"/>
      <c r="B348" s="185" t="s">
        <v>1335</v>
      </c>
      <c r="C348" s="172"/>
      <c r="D348" s="172" t="s">
        <v>9</v>
      </c>
      <c r="E348" s="164" t="e">
        <f t="shared" ref="E348:J348" si="99">(E351+E352)/(E356+E357)*100</f>
        <v>#DIV/0!</v>
      </c>
      <c r="F348" s="164" t="e">
        <f t="shared" si="99"/>
        <v>#DIV/0!</v>
      </c>
      <c r="G348" s="164" t="e">
        <f t="shared" si="99"/>
        <v>#DIV/0!</v>
      </c>
      <c r="H348" s="164" t="e">
        <f t="shared" si="99"/>
        <v>#DIV/0!</v>
      </c>
      <c r="I348" s="318" t="e">
        <f t="shared" si="99"/>
        <v>#DIV/0!</v>
      </c>
      <c r="J348" s="164" t="e">
        <f t="shared" si="99"/>
        <v>#DIV/0!</v>
      </c>
    </row>
    <row r="349" spans="1:11" ht="30" customHeight="1" x14ac:dyDescent="0.25">
      <c r="A349" s="418"/>
      <c r="B349" s="422" t="s">
        <v>267</v>
      </c>
      <c r="C349" s="172" t="s">
        <v>1634</v>
      </c>
      <c r="D349" s="415" t="s">
        <v>1268</v>
      </c>
      <c r="E349" s="165">
        <v>0</v>
      </c>
      <c r="F349" s="165">
        <v>0</v>
      </c>
      <c r="G349" s="165">
        <v>0</v>
      </c>
      <c r="H349" s="165">
        <v>0</v>
      </c>
      <c r="I349" s="320">
        <v>0</v>
      </c>
      <c r="J349" s="165">
        <v>0</v>
      </c>
    </row>
    <row r="350" spans="1:11" x14ac:dyDescent="0.25">
      <c r="A350" s="419"/>
      <c r="B350" s="423"/>
      <c r="C350" s="172" t="s">
        <v>1634</v>
      </c>
      <c r="D350" s="416"/>
      <c r="E350" s="165">
        <v>0</v>
      </c>
      <c r="F350" s="165">
        <v>0</v>
      </c>
      <c r="G350" s="165">
        <v>0</v>
      </c>
      <c r="H350" s="165">
        <v>0</v>
      </c>
      <c r="I350" s="320">
        <v>0</v>
      </c>
      <c r="J350" s="165">
        <v>0</v>
      </c>
    </row>
    <row r="351" spans="1:11" x14ac:dyDescent="0.25">
      <c r="A351" s="419"/>
      <c r="B351" s="423"/>
      <c r="C351" s="172" t="s">
        <v>1634</v>
      </c>
      <c r="D351" s="415" t="s">
        <v>1268</v>
      </c>
      <c r="E351" s="165">
        <v>0</v>
      </c>
      <c r="F351" s="165">
        <v>0</v>
      </c>
      <c r="G351" s="165">
        <v>0</v>
      </c>
      <c r="H351" s="165">
        <v>0</v>
      </c>
      <c r="I351" s="320">
        <v>0</v>
      </c>
      <c r="J351" s="165">
        <v>0</v>
      </c>
    </row>
    <row r="352" spans="1:11" x14ac:dyDescent="0.25">
      <c r="A352" s="420"/>
      <c r="B352" s="424"/>
      <c r="C352" s="172" t="s">
        <v>1634</v>
      </c>
      <c r="D352" s="416"/>
      <c r="E352" s="165">
        <v>0</v>
      </c>
      <c r="F352" s="165">
        <v>0</v>
      </c>
      <c r="G352" s="165">
        <v>0</v>
      </c>
      <c r="H352" s="165">
        <v>0</v>
      </c>
      <c r="I352" s="320">
        <v>0</v>
      </c>
      <c r="J352" s="165">
        <v>0</v>
      </c>
    </row>
    <row r="353" spans="1:11" ht="30" x14ac:dyDescent="0.25">
      <c r="A353" s="172"/>
      <c r="B353" s="157" t="s">
        <v>268</v>
      </c>
      <c r="C353" s="172" t="s">
        <v>1633</v>
      </c>
      <c r="D353" s="172" t="s">
        <v>1268</v>
      </c>
      <c r="E353" s="165">
        <v>0</v>
      </c>
      <c r="F353" s="165">
        <v>0</v>
      </c>
      <c r="G353" s="165">
        <v>0</v>
      </c>
      <c r="H353" s="165">
        <v>0</v>
      </c>
      <c r="I353" s="320">
        <v>0</v>
      </c>
      <c r="J353" s="165">
        <v>0</v>
      </c>
    </row>
    <row r="354" spans="1:11" ht="30" customHeight="1" x14ac:dyDescent="0.25">
      <c r="A354" s="418"/>
      <c r="B354" s="422" t="s">
        <v>206</v>
      </c>
      <c r="C354" s="172" t="s">
        <v>1634</v>
      </c>
      <c r="D354" s="415" t="s">
        <v>1268</v>
      </c>
      <c r="E354" s="165">
        <v>5</v>
      </c>
      <c r="F354" s="165">
        <v>5</v>
      </c>
      <c r="G354" s="165">
        <v>5</v>
      </c>
      <c r="H354" s="165">
        <v>5</v>
      </c>
      <c r="I354" s="320">
        <v>5</v>
      </c>
      <c r="J354" s="165">
        <v>5</v>
      </c>
    </row>
    <row r="355" spans="1:11" x14ac:dyDescent="0.25">
      <c r="A355" s="419"/>
      <c r="B355" s="423"/>
      <c r="C355" s="172" t="s">
        <v>1634</v>
      </c>
      <c r="D355" s="416"/>
      <c r="E355" s="165">
        <v>18</v>
      </c>
      <c r="F355" s="165">
        <v>17</v>
      </c>
      <c r="G355" s="165">
        <v>16</v>
      </c>
      <c r="H355" s="165">
        <v>15</v>
      </c>
      <c r="I355" s="320">
        <v>14</v>
      </c>
      <c r="J355" s="165">
        <v>13</v>
      </c>
      <c r="K355" s="173"/>
    </row>
    <row r="356" spans="1:11" x14ac:dyDescent="0.25">
      <c r="A356" s="419"/>
      <c r="B356" s="423"/>
      <c r="C356" s="172" t="s">
        <v>1634</v>
      </c>
      <c r="D356" s="415" t="s">
        <v>1268</v>
      </c>
      <c r="E356" s="165">
        <v>0</v>
      </c>
      <c r="F356" s="165">
        <v>0</v>
      </c>
      <c r="G356" s="165">
        <v>0</v>
      </c>
      <c r="H356" s="165">
        <v>0</v>
      </c>
      <c r="I356" s="320">
        <v>0</v>
      </c>
      <c r="J356" s="165">
        <v>0</v>
      </c>
      <c r="K356" s="173"/>
    </row>
    <row r="357" spans="1:11" x14ac:dyDescent="0.25">
      <c r="A357" s="420"/>
      <c r="B357" s="424"/>
      <c r="C357" s="172" t="s">
        <v>1634</v>
      </c>
      <c r="D357" s="416"/>
      <c r="E357" s="165">
        <v>0</v>
      </c>
      <c r="F357" s="165">
        <v>0</v>
      </c>
      <c r="G357" s="165">
        <v>0</v>
      </c>
      <c r="H357" s="165">
        <v>0</v>
      </c>
      <c r="I357" s="320">
        <v>0</v>
      </c>
      <c r="J357" s="165">
        <v>0</v>
      </c>
      <c r="K357" s="173"/>
    </row>
    <row r="358" spans="1:11" ht="30" x14ac:dyDescent="0.25">
      <c r="A358" s="172"/>
      <c r="B358" s="157" t="s">
        <v>226</v>
      </c>
      <c r="C358" s="172" t="s">
        <v>1633</v>
      </c>
      <c r="D358" s="172" t="s">
        <v>1268</v>
      </c>
      <c r="E358" s="165">
        <v>0</v>
      </c>
      <c r="F358" s="165">
        <v>0</v>
      </c>
      <c r="G358" s="165">
        <v>0</v>
      </c>
      <c r="H358" s="165">
        <v>0</v>
      </c>
      <c r="I358" s="320">
        <v>0</v>
      </c>
      <c r="J358" s="165">
        <v>0</v>
      </c>
    </row>
    <row r="359" spans="1:11" ht="71.25" x14ac:dyDescent="0.25">
      <c r="A359" s="182" t="s">
        <v>270</v>
      </c>
      <c r="B359" s="183" t="s">
        <v>269</v>
      </c>
      <c r="C359" s="171"/>
      <c r="D359" s="171"/>
      <c r="E359" s="171"/>
      <c r="F359" s="171"/>
      <c r="G359" s="171"/>
      <c r="H359" s="171"/>
      <c r="I359" s="317"/>
      <c r="J359" s="171"/>
      <c r="K359" s="173" t="s">
        <v>286</v>
      </c>
    </row>
    <row r="360" spans="1:11" x14ac:dyDescent="0.25">
      <c r="A360" s="172" t="s">
        <v>272</v>
      </c>
      <c r="B360" s="157" t="s">
        <v>271</v>
      </c>
      <c r="C360" s="171"/>
      <c r="D360" s="172" t="s">
        <v>9</v>
      </c>
      <c r="E360" s="164"/>
      <c r="F360" s="164"/>
      <c r="G360" s="164"/>
      <c r="H360" s="164"/>
      <c r="I360" s="318"/>
      <c r="J360" s="164"/>
    </row>
    <row r="361" spans="1:11" x14ac:dyDescent="0.25">
      <c r="A361" s="172"/>
      <c r="B361" s="185" t="s">
        <v>1333</v>
      </c>
      <c r="C361" s="171"/>
      <c r="D361" s="172" t="s">
        <v>9</v>
      </c>
      <c r="E361" s="164">
        <f t="shared" ref="E361:J361" si="100">((E368+E374+E369+E375)/(E377+E383+E378+E384))*100</f>
        <v>100</v>
      </c>
      <c r="F361" s="164">
        <f t="shared" si="100"/>
        <v>95.652173913043484</v>
      </c>
      <c r="G361" s="164">
        <f t="shared" si="100"/>
        <v>95.454545454545453</v>
      </c>
      <c r="H361" s="164">
        <f t="shared" si="100"/>
        <v>100</v>
      </c>
      <c r="I361" s="318">
        <f t="shared" si="100"/>
        <v>100</v>
      </c>
      <c r="J361" s="164">
        <f t="shared" si="100"/>
        <v>100</v>
      </c>
    </row>
    <row r="362" spans="1:11" x14ac:dyDescent="0.25">
      <c r="A362" s="172"/>
      <c r="B362" s="185" t="s">
        <v>1334</v>
      </c>
      <c r="C362" s="171"/>
      <c r="D362" s="172" t="s">
        <v>9</v>
      </c>
      <c r="E362" s="164">
        <f t="shared" ref="E362:G363" si="101">((E368+E374)/(E377+E383))*100</f>
        <v>100</v>
      </c>
      <c r="F362" s="164">
        <f t="shared" si="101"/>
        <v>100</v>
      </c>
      <c r="G362" s="164">
        <f t="shared" si="101"/>
        <v>100</v>
      </c>
      <c r="H362" s="164">
        <f t="shared" ref="H362:I362" si="102">((H368+H374)/(H377+H383))*100</f>
        <v>100</v>
      </c>
      <c r="I362" s="318">
        <f t="shared" si="102"/>
        <v>100</v>
      </c>
      <c r="J362" s="164">
        <f t="shared" ref="J362" si="103">((J368+J374)/(J377+J383))*100</f>
        <v>100</v>
      </c>
    </row>
    <row r="363" spans="1:11" x14ac:dyDescent="0.25">
      <c r="A363" s="172"/>
      <c r="B363" s="157" t="s">
        <v>1336</v>
      </c>
      <c r="C363" s="171"/>
      <c r="D363" s="172" t="s">
        <v>9</v>
      </c>
      <c r="E363" s="164">
        <f t="shared" si="101"/>
        <v>100</v>
      </c>
      <c r="F363" s="164">
        <f t="shared" si="101"/>
        <v>94.444444444444443</v>
      </c>
      <c r="G363" s="164">
        <f t="shared" si="101"/>
        <v>94.117647058823522</v>
      </c>
      <c r="H363" s="164">
        <f t="shared" ref="H363:I363" si="104">((H369+H375)/(H378+H384))*100</f>
        <v>100</v>
      </c>
      <c r="I363" s="318">
        <f t="shared" si="104"/>
        <v>100</v>
      </c>
      <c r="J363" s="164">
        <f t="shared" ref="J363" si="105">((J369+J375)/(J378+J384))*100</f>
        <v>100</v>
      </c>
    </row>
    <row r="364" spans="1:11" x14ac:dyDescent="0.25">
      <c r="A364" s="172"/>
      <c r="B364" s="185" t="s">
        <v>1335</v>
      </c>
      <c r="C364" s="171"/>
      <c r="D364" s="172" t="s">
        <v>9</v>
      </c>
      <c r="E364" s="164" t="e">
        <f t="shared" ref="E364:J364" si="106">((E371+E372)/(E380+E381))*100</f>
        <v>#DIV/0!</v>
      </c>
      <c r="F364" s="164" t="e">
        <f t="shared" si="106"/>
        <v>#DIV/0!</v>
      </c>
      <c r="G364" s="164" t="e">
        <f t="shared" si="106"/>
        <v>#DIV/0!</v>
      </c>
      <c r="H364" s="164" t="e">
        <f t="shared" si="106"/>
        <v>#DIV/0!</v>
      </c>
      <c r="I364" s="318" t="e">
        <f t="shared" si="106"/>
        <v>#DIV/0!</v>
      </c>
      <c r="J364" s="164" t="e">
        <f t="shared" si="106"/>
        <v>#DIV/0!</v>
      </c>
    </row>
    <row r="365" spans="1:11" x14ac:dyDescent="0.25">
      <c r="A365" s="172"/>
      <c r="B365" s="185" t="s">
        <v>1334</v>
      </c>
      <c r="C365" s="171"/>
      <c r="D365" s="172" t="s">
        <v>9</v>
      </c>
      <c r="E365" s="164" t="e">
        <f t="shared" ref="E365:G366" si="107">((E371)/(E380))*100</f>
        <v>#DIV/0!</v>
      </c>
      <c r="F365" s="164" t="e">
        <f t="shared" si="107"/>
        <v>#DIV/0!</v>
      </c>
      <c r="G365" s="164" t="e">
        <f t="shared" si="107"/>
        <v>#DIV/0!</v>
      </c>
      <c r="H365" s="164" t="e">
        <f t="shared" ref="H365:I365" si="108">((H371)/(H380))*100</f>
        <v>#DIV/0!</v>
      </c>
      <c r="I365" s="318" t="e">
        <f t="shared" si="108"/>
        <v>#DIV/0!</v>
      </c>
      <c r="J365" s="164" t="e">
        <f t="shared" ref="J365" si="109">((J371)/(J380))*100</f>
        <v>#DIV/0!</v>
      </c>
    </row>
    <row r="366" spans="1:11" x14ac:dyDescent="0.25">
      <c r="A366" s="172"/>
      <c r="B366" s="157" t="s">
        <v>1336</v>
      </c>
      <c r="C366" s="171"/>
      <c r="D366" s="172" t="s">
        <v>9</v>
      </c>
      <c r="E366" s="164" t="e">
        <f t="shared" si="107"/>
        <v>#DIV/0!</v>
      </c>
      <c r="F366" s="164" t="e">
        <f t="shared" si="107"/>
        <v>#DIV/0!</v>
      </c>
      <c r="G366" s="164" t="e">
        <f t="shared" si="107"/>
        <v>#DIV/0!</v>
      </c>
      <c r="H366" s="164" t="e">
        <f t="shared" ref="H366:I366" si="110">((H372)/(H381))*100</f>
        <v>#DIV/0!</v>
      </c>
      <c r="I366" s="318" t="e">
        <f t="shared" si="110"/>
        <v>#DIV/0!</v>
      </c>
      <c r="J366" s="164" t="e">
        <f t="shared" ref="J366" si="111">((J372)/(J381))*100</f>
        <v>#DIV/0!</v>
      </c>
    </row>
    <row r="367" spans="1:11" ht="60" x14ac:dyDescent="0.25">
      <c r="A367" s="172"/>
      <c r="B367" s="211" t="s">
        <v>273</v>
      </c>
      <c r="C367" s="172"/>
      <c r="D367" s="172"/>
      <c r="E367" s="165"/>
      <c r="F367" s="165"/>
      <c r="G367" s="165"/>
      <c r="H367" s="165"/>
      <c r="I367" s="320"/>
      <c r="J367" s="165"/>
    </row>
    <row r="368" spans="1:11" x14ac:dyDescent="0.25">
      <c r="A368" s="172"/>
      <c r="B368" s="185" t="s">
        <v>1334</v>
      </c>
      <c r="C368" s="172" t="s">
        <v>1636</v>
      </c>
      <c r="D368" s="172" t="s">
        <v>1268</v>
      </c>
      <c r="E368" s="165">
        <v>5</v>
      </c>
      <c r="F368" s="165">
        <v>5</v>
      </c>
      <c r="G368" s="165">
        <v>5</v>
      </c>
      <c r="H368" s="165">
        <v>5</v>
      </c>
      <c r="I368" s="320">
        <v>5</v>
      </c>
      <c r="J368" s="165">
        <v>5</v>
      </c>
    </row>
    <row r="369" spans="1:11" x14ac:dyDescent="0.25">
      <c r="A369" s="172"/>
      <c r="B369" s="157" t="s">
        <v>1336</v>
      </c>
      <c r="C369" s="172" t="s">
        <v>1636</v>
      </c>
      <c r="D369" s="172" t="s">
        <v>1268</v>
      </c>
      <c r="E369" s="165">
        <v>18</v>
      </c>
      <c r="F369" s="165">
        <v>17</v>
      </c>
      <c r="G369" s="165">
        <v>16</v>
      </c>
      <c r="H369" s="165">
        <v>15</v>
      </c>
      <c r="I369" s="320">
        <v>14</v>
      </c>
      <c r="J369" s="165">
        <v>13</v>
      </c>
    </row>
    <row r="370" spans="1:11" ht="60" x14ac:dyDescent="0.25">
      <c r="A370" s="172"/>
      <c r="B370" s="211" t="s">
        <v>273</v>
      </c>
      <c r="C370" s="172"/>
      <c r="D370" s="172"/>
      <c r="E370" s="165"/>
      <c r="F370" s="165"/>
      <c r="G370" s="165"/>
      <c r="H370" s="165"/>
      <c r="I370" s="320"/>
      <c r="J370" s="165"/>
    </row>
    <row r="371" spans="1:11" x14ac:dyDescent="0.25">
      <c r="A371" s="172"/>
      <c r="B371" s="185" t="s">
        <v>1334</v>
      </c>
      <c r="C371" s="172" t="s">
        <v>1636</v>
      </c>
      <c r="D371" s="172" t="s">
        <v>1268</v>
      </c>
      <c r="E371" s="165">
        <v>0</v>
      </c>
      <c r="F371" s="165">
        <v>0</v>
      </c>
      <c r="G371" s="165">
        <v>0</v>
      </c>
      <c r="H371" s="165">
        <v>0</v>
      </c>
      <c r="I371" s="320">
        <v>0</v>
      </c>
      <c r="J371" s="165">
        <v>0</v>
      </c>
    </row>
    <row r="372" spans="1:11" x14ac:dyDescent="0.25">
      <c r="A372" s="172"/>
      <c r="B372" s="157" t="s">
        <v>1336</v>
      </c>
      <c r="C372" s="172" t="s">
        <v>1636</v>
      </c>
      <c r="D372" s="172" t="s">
        <v>1268</v>
      </c>
      <c r="E372" s="165">
        <v>0</v>
      </c>
      <c r="F372" s="165">
        <v>0</v>
      </c>
      <c r="G372" s="165">
        <v>0</v>
      </c>
      <c r="H372" s="165">
        <v>0</v>
      </c>
      <c r="I372" s="320">
        <v>0</v>
      </c>
      <c r="J372" s="165">
        <v>0</v>
      </c>
    </row>
    <row r="373" spans="1:11" ht="30" x14ac:dyDescent="0.25">
      <c r="A373" s="171"/>
      <c r="B373" s="157" t="s">
        <v>274</v>
      </c>
      <c r="C373" s="172"/>
      <c r="D373" s="172"/>
      <c r="E373" s="165"/>
      <c r="F373" s="165"/>
      <c r="G373" s="165"/>
      <c r="H373" s="165"/>
      <c r="I373" s="320"/>
      <c r="J373" s="165"/>
    </row>
    <row r="374" spans="1:11" x14ac:dyDescent="0.25">
      <c r="A374" s="285"/>
      <c r="B374" s="185" t="s">
        <v>1334</v>
      </c>
      <c r="C374" s="172" t="s">
        <v>1637</v>
      </c>
      <c r="D374" s="172" t="s">
        <v>1268</v>
      </c>
      <c r="E374" s="165">
        <v>0</v>
      </c>
      <c r="F374" s="165">
        <v>0</v>
      </c>
      <c r="G374" s="165">
        <v>0</v>
      </c>
      <c r="H374" s="165">
        <v>0</v>
      </c>
      <c r="I374" s="320">
        <v>0</v>
      </c>
      <c r="J374" s="165">
        <v>0</v>
      </c>
    </row>
    <row r="375" spans="1:11" x14ac:dyDescent="0.25">
      <c r="A375" s="285"/>
      <c r="B375" s="157" t="s">
        <v>1336</v>
      </c>
      <c r="C375" s="172" t="s">
        <v>1638</v>
      </c>
      <c r="D375" s="172" t="s">
        <v>1268</v>
      </c>
      <c r="E375" s="165">
        <v>0</v>
      </c>
      <c r="F375" s="165">
        <v>0</v>
      </c>
      <c r="G375" s="165">
        <v>0</v>
      </c>
      <c r="H375" s="165">
        <v>0</v>
      </c>
      <c r="I375" s="320">
        <v>0</v>
      </c>
      <c r="J375" s="165">
        <v>0</v>
      </c>
    </row>
    <row r="376" spans="1:11" ht="60" x14ac:dyDescent="0.25">
      <c r="A376" s="285"/>
      <c r="B376" s="211" t="s">
        <v>275</v>
      </c>
      <c r="C376" s="172"/>
      <c r="D376" s="172"/>
      <c r="E376" s="165"/>
      <c r="F376" s="165"/>
      <c r="G376" s="165"/>
      <c r="H376" s="165"/>
      <c r="I376" s="320"/>
      <c r="J376" s="165"/>
      <c r="K376" s="173"/>
    </row>
    <row r="377" spans="1:11" x14ac:dyDescent="0.25">
      <c r="A377" s="285"/>
      <c r="B377" s="185" t="s">
        <v>1334</v>
      </c>
      <c r="C377" s="172" t="s">
        <v>1632</v>
      </c>
      <c r="D377" s="172" t="s">
        <v>1268</v>
      </c>
      <c r="E377" s="165">
        <v>5</v>
      </c>
      <c r="F377" s="165">
        <v>5</v>
      </c>
      <c r="G377" s="165">
        <v>5</v>
      </c>
      <c r="H377" s="165">
        <v>5</v>
      </c>
      <c r="I377" s="320">
        <v>5</v>
      </c>
      <c r="J377" s="165">
        <v>5</v>
      </c>
      <c r="K377" s="173"/>
    </row>
    <row r="378" spans="1:11" x14ac:dyDescent="0.25">
      <c r="A378" s="285"/>
      <c r="B378" s="157" t="s">
        <v>1336</v>
      </c>
      <c r="C378" s="172" t="s">
        <v>1632</v>
      </c>
      <c r="D378" s="172" t="s">
        <v>1268</v>
      </c>
      <c r="E378" s="165">
        <v>18</v>
      </c>
      <c r="F378" s="165">
        <v>18</v>
      </c>
      <c r="G378" s="165">
        <v>17</v>
      </c>
      <c r="H378" s="165">
        <v>15</v>
      </c>
      <c r="I378" s="320">
        <v>14</v>
      </c>
      <c r="J378" s="165">
        <v>13</v>
      </c>
      <c r="K378" s="173"/>
    </row>
    <row r="379" spans="1:11" ht="60" x14ac:dyDescent="0.25">
      <c r="A379" s="285"/>
      <c r="B379" s="211" t="s">
        <v>275</v>
      </c>
      <c r="C379" s="172"/>
      <c r="D379" s="172"/>
      <c r="E379" s="165"/>
      <c r="F379" s="165"/>
      <c r="G379" s="165"/>
      <c r="H379" s="165"/>
      <c r="I379" s="320"/>
      <c r="J379" s="165"/>
      <c r="K379" s="173"/>
    </row>
    <row r="380" spans="1:11" x14ac:dyDescent="0.25">
      <c r="A380" s="285"/>
      <c r="B380" s="185" t="s">
        <v>1334</v>
      </c>
      <c r="C380" s="172" t="s">
        <v>1632</v>
      </c>
      <c r="D380" s="172" t="s">
        <v>1268</v>
      </c>
      <c r="E380" s="165">
        <v>0</v>
      </c>
      <c r="F380" s="165">
        <v>0</v>
      </c>
      <c r="G380" s="165">
        <v>0</v>
      </c>
      <c r="H380" s="165">
        <v>0</v>
      </c>
      <c r="I380" s="320">
        <v>0</v>
      </c>
      <c r="J380" s="165">
        <v>0</v>
      </c>
      <c r="K380" s="173"/>
    </row>
    <row r="381" spans="1:11" x14ac:dyDescent="0.25">
      <c r="A381" s="285"/>
      <c r="B381" s="157" t="s">
        <v>1336</v>
      </c>
      <c r="C381" s="172" t="s">
        <v>1632</v>
      </c>
      <c r="D381" s="172" t="s">
        <v>1268</v>
      </c>
      <c r="E381" s="165">
        <v>0</v>
      </c>
      <c r="F381" s="165">
        <v>0</v>
      </c>
      <c r="G381" s="165">
        <v>0</v>
      </c>
      <c r="H381" s="165">
        <v>0</v>
      </c>
      <c r="I381" s="320">
        <v>0</v>
      </c>
      <c r="J381" s="165">
        <v>0</v>
      </c>
      <c r="K381" s="173"/>
    </row>
    <row r="382" spans="1:11" ht="45" x14ac:dyDescent="0.25">
      <c r="A382" s="171"/>
      <c r="B382" s="157" t="s">
        <v>276</v>
      </c>
      <c r="C382" s="172"/>
      <c r="D382" s="172"/>
      <c r="E382" s="165"/>
      <c r="F382" s="165"/>
      <c r="G382" s="165"/>
      <c r="H382" s="165"/>
      <c r="I382" s="320"/>
      <c r="J382" s="165"/>
    </row>
    <row r="383" spans="1:11" ht="30" x14ac:dyDescent="0.25">
      <c r="A383" s="171"/>
      <c r="B383" s="185" t="s">
        <v>1334</v>
      </c>
      <c r="C383" s="172" t="s">
        <v>1639</v>
      </c>
      <c r="D383" s="172" t="s">
        <v>1268</v>
      </c>
      <c r="E383" s="165">
        <v>0</v>
      </c>
      <c r="F383" s="165">
        <v>0</v>
      </c>
      <c r="G383" s="165">
        <v>0</v>
      </c>
      <c r="H383" s="165">
        <v>0</v>
      </c>
      <c r="I383" s="320">
        <v>0</v>
      </c>
      <c r="J383" s="165">
        <v>0</v>
      </c>
    </row>
    <row r="384" spans="1:11" x14ac:dyDescent="0.25">
      <c r="A384" s="171"/>
      <c r="B384" s="157" t="s">
        <v>1336</v>
      </c>
      <c r="C384" s="172" t="s">
        <v>1638</v>
      </c>
      <c r="D384" s="172" t="s">
        <v>1268</v>
      </c>
      <c r="E384" s="165">
        <v>0</v>
      </c>
      <c r="F384" s="165">
        <v>0</v>
      </c>
      <c r="G384" s="165">
        <v>0</v>
      </c>
      <c r="H384" s="165">
        <v>0</v>
      </c>
      <c r="I384" s="320">
        <v>0</v>
      </c>
      <c r="J384" s="165">
        <v>0</v>
      </c>
    </row>
    <row r="385" spans="1:11" ht="60" x14ac:dyDescent="0.25">
      <c r="A385" s="182" t="s">
        <v>278</v>
      </c>
      <c r="B385" s="183" t="s">
        <v>277</v>
      </c>
      <c r="C385" s="171"/>
      <c r="D385" s="171"/>
      <c r="E385" s="171"/>
      <c r="F385" s="171"/>
      <c r="G385" s="171"/>
      <c r="H385" s="171"/>
      <c r="I385" s="317"/>
      <c r="J385" s="171"/>
      <c r="K385" s="173" t="s">
        <v>286</v>
      </c>
    </row>
    <row r="386" spans="1:11" ht="45" x14ac:dyDescent="0.25">
      <c r="A386" s="172" t="s">
        <v>285</v>
      </c>
      <c r="B386" s="157" t="s">
        <v>279</v>
      </c>
      <c r="C386" s="171"/>
      <c r="D386" s="172" t="s">
        <v>1270</v>
      </c>
      <c r="E386" s="164">
        <f t="shared" ref="E386:J386" si="112">(E389+E390)/(E391+E392)</f>
        <v>201.27654320987654</v>
      </c>
      <c r="F386" s="164">
        <f t="shared" si="112"/>
        <v>207.65919965202261</v>
      </c>
      <c r="G386" s="164">
        <f t="shared" si="112"/>
        <v>222.47347994825355</v>
      </c>
      <c r="H386" s="164">
        <f t="shared" si="112"/>
        <v>234.62769784172662</v>
      </c>
      <c r="I386" s="318">
        <f t="shared" si="112"/>
        <v>250.97783747481532</v>
      </c>
      <c r="J386" s="164">
        <f t="shared" si="112"/>
        <v>262.30592691622104</v>
      </c>
    </row>
    <row r="387" spans="1:11" x14ac:dyDescent="0.25">
      <c r="A387" s="172"/>
      <c r="B387" s="185" t="s">
        <v>1333</v>
      </c>
      <c r="C387" s="171"/>
      <c r="D387" s="172" t="s">
        <v>1270</v>
      </c>
      <c r="E387" s="164">
        <f t="shared" ref="E387:G388" si="113">(E389)/(E391)</f>
        <v>201.27654320987654</v>
      </c>
      <c r="F387" s="164">
        <f t="shared" si="113"/>
        <v>207.65919965202261</v>
      </c>
      <c r="G387" s="164">
        <f t="shared" si="113"/>
        <v>222.47347994825355</v>
      </c>
      <c r="H387" s="164">
        <f t="shared" ref="H387:J387" si="114">(H389)/(H391)</f>
        <v>234.62769784172662</v>
      </c>
      <c r="I387" s="318">
        <f t="shared" si="114"/>
        <v>250.97783747481532</v>
      </c>
      <c r="J387" s="164">
        <f t="shared" si="114"/>
        <v>262.30592691622104</v>
      </c>
    </row>
    <row r="388" spans="1:11" x14ac:dyDescent="0.25">
      <c r="A388" s="172"/>
      <c r="B388" s="185" t="s">
        <v>1335</v>
      </c>
      <c r="C388" s="171"/>
      <c r="D388" s="172" t="s">
        <v>1270</v>
      </c>
      <c r="E388" s="164" t="e">
        <f t="shared" si="113"/>
        <v>#DIV/0!</v>
      </c>
      <c r="F388" s="164" t="e">
        <f t="shared" si="113"/>
        <v>#DIV/0!</v>
      </c>
      <c r="G388" s="164" t="e">
        <f t="shared" si="113"/>
        <v>#DIV/0!</v>
      </c>
      <c r="H388" s="164" t="e">
        <f t="shared" ref="H388:J388" si="115">(H390)/(H392)</f>
        <v>#DIV/0!</v>
      </c>
      <c r="I388" s="318" t="e">
        <f t="shared" si="115"/>
        <v>#DIV/0!</v>
      </c>
      <c r="J388" s="164" t="e">
        <f t="shared" si="115"/>
        <v>#DIV/0!</v>
      </c>
    </row>
    <row r="389" spans="1:11" ht="30" x14ac:dyDescent="0.25">
      <c r="A389" s="171"/>
      <c r="B389" s="157" t="s">
        <v>280</v>
      </c>
      <c r="C389" s="172" t="s">
        <v>1640</v>
      </c>
      <c r="D389" s="172" t="s">
        <v>1270</v>
      </c>
      <c r="E389" s="181">
        <v>896687</v>
      </c>
      <c r="F389" s="181">
        <v>954817</v>
      </c>
      <c r="G389" s="181">
        <v>1031832</v>
      </c>
      <c r="H389" s="181">
        <v>1043624</v>
      </c>
      <c r="I389" s="319">
        <v>1121118</v>
      </c>
      <c r="J389" s="181">
        <v>1177229</v>
      </c>
    </row>
    <row r="390" spans="1:11" ht="30" x14ac:dyDescent="0.25">
      <c r="A390" s="171"/>
      <c r="B390" s="157" t="s">
        <v>281</v>
      </c>
      <c r="C390" s="172" t="s">
        <v>1640</v>
      </c>
      <c r="D390" s="172" t="s">
        <v>1270</v>
      </c>
      <c r="E390" s="181">
        <v>0</v>
      </c>
      <c r="F390" s="181">
        <v>0</v>
      </c>
      <c r="G390" s="181">
        <v>0</v>
      </c>
      <c r="H390" s="181">
        <v>0</v>
      </c>
      <c r="I390" s="319">
        <v>0</v>
      </c>
      <c r="J390" s="181">
        <v>0</v>
      </c>
      <c r="K390" s="173"/>
    </row>
    <row r="391" spans="1:11" ht="45" x14ac:dyDescent="0.25">
      <c r="A391" s="171"/>
      <c r="B391" s="157" t="s">
        <v>282</v>
      </c>
      <c r="C391" s="172" t="s">
        <v>1640</v>
      </c>
      <c r="D391" s="172" t="s">
        <v>1076</v>
      </c>
      <c r="E391" s="181">
        <v>4455</v>
      </c>
      <c r="F391" s="181">
        <v>4598</v>
      </c>
      <c r="G391" s="181">
        <v>4638</v>
      </c>
      <c r="H391" s="181">
        <v>4448</v>
      </c>
      <c r="I391" s="319">
        <v>4467</v>
      </c>
      <c r="J391" s="181">
        <v>4488</v>
      </c>
    </row>
    <row r="392" spans="1:11" ht="30" x14ac:dyDescent="0.25">
      <c r="A392" s="171"/>
      <c r="B392" s="157" t="s">
        <v>283</v>
      </c>
      <c r="C392" s="172" t="s">
        <v>1640</v>
      </c>
      <c r="D392" s="172" t="s">
        <v>1076</v>
      </c>
      <c r="E392" s="181">
        <v>0</v>
      </c>
      <c r="F392" s="181">
        <v>0</v>
      </c>
      <c r="G392" s="181">
        <v>0</v>
      </c>
      <c r="H392" s="181">
        <v>0</v>
      </c>
      <c r="I392" s="319">
        <v>0</v>
      </c>
      <c r="J392" s="181">
        <v>0</v>
      </c>
    </row>
    <row r="393" spans="1:11" ht="46.5" customHeight="1" x14ac:dyDescent="0.25">
      <c r="A393" s="172" t="s">
        <v>284</v>
      </c>
      <c r="B393" s="157" t="s">
        <v>287</v>
      </c>
      <c r="C393" s="171"/>
      <c r="D393" s="172" t="s">
        <v>9</v>
      </c>
      <c r="E393" s="164">
        <f>((E396+E397)/(E398+E399))*100</f>
        <v>0</v>
      </c>
      <c r="F393" s="164">
        <f>((F396+F397)/(F398+F399))*100</f>
        <v>0</v>
      </c>
      <c r="G393" s="164">
        <f>((G396+G397)/(G398+G399))*100</f>
        <v>0</v>
      </c>
      <c r="H393" s="164">
        <v>0</v>
      </c>
      <c r="I393" s="318">
        <v>0</v>
      </c>
      <c r="J393" s="164">
        <v>0</v>
      </c>
      <c r="K393" s="173" t="s">
        <v>149</v>
      </c>
    </row>
    <row r="394" spans="1:11" x14ac:dyDescent="0.25">
      <c r="A394" s="172"/>
      <c r="B394" s="185" t="s">
        <v>1333</v>
      </c>
      <c r="C394" s="171"/>
      <c r="D394" s="172" t="s">
        <v>9</v>
      </c>
      <c r="E394" s="164">
        <f t="shared" ref="E394:G395" si="116">((E396)/(E398))*100</f>
        <v>0</v>
      </c>
      <c r="F394" s="164">
        <f t="shared" si="116"/>
        <v>0</v>
      </c>
      <c r="G394" s="164">
        <f t="shared" si="116"/>
        <v>0</v>
      </c>
      <c r="H394" s="164">
        <v>0</v>
      </c>
      <c r="I394" s="318">
        <v>0</v>
      </c>
      <c r="J394" s="164">
        <v>0</v>
      </c>
    </row>
    <row r="395" spans="1:11" x14ac:dyDescent="0.25">
      <c r="A395" s="172"/>
      <c r="B395" s="185" t="s">
        <v>1335</v>
      </c>
      <c r="C395" s="171"/>
      <c r="D395" s="172" t="s">
        <v>9</v>
      </c>
      <c r="E395" s="164" t="e">
        <f t="shared" si="116"/>
        <v>#DIV/0!</v>
      </c>
      <c r="F395" s="164" t="e">
        <f t="shared" si="116"/>
        <v>#DIV/0!</v>
      </c>
      <c r="G395" s="164" t="e">
        <f t="shared" si="116"/>
        <v>#DIV/0!</v>
      </c>
      <c r="H395" s="164">
        <v>0</v>
      </c>
      <c r="I395" s="318">
        <v>0</v>
      </c>
      <c r="J395" s="164">
        <v>0</v>
      </c>
    </row>
    <row r="396" spans="1:11" ht="60" x14ac:dyDescent="0.25">
      <c r="A396" s="171"/>
      <c r="B396" s="157" t="s">
        <v>288</v>
      </c>
      <c r="C396" s="172" t="s">
        <v>1640</v>
      </c>
      <c r="D396" s="172" t="s">
        <v>1270</v>
      </c>
      <c r="E396" s="181">
        <v>0</v>
      </c>
      <c r="F396" s="181">
        <v>0</v>
      </c>
      <c r="G396" s="181">
        <v>0</v>
      </c>
      <c r="H396" s="181">
        <v>0</v>
      </c>
      <c r="I396" s="319">
        <v>0</v>
      </c>
      <c r="J396" s="181">
        <v>0</v>
      </c>
    </row>
    <row r="397" spans="1:11" ht="45" x14ac:dyDescent="0.25">
      <c r="A397" s="171"/>
      <c r="B397" s="157" t="s">
        <v>289</v>
      </c>
      <c r="C397" s="172" t="s">
        <v>1640</v>
      </c>
      <c r="D397" s="172" t="s">
        <v>1270</v>
      </c>
      <c r="E397" s="181">
        <v>0</v>
      </c>
      <c r="F397" s="181">
        <v>0</v>
      </c>
      <c r="G397" s="181">
        <v>0</v>
      </c>
      <c r="H397" s="181">
        <v>0</v>
      </c>
      <c r="I397" s="319">
        <v>0</v>
      </c>
      <c r="J397" s="181">
        <v>0</v>
      </c>
    </row>
    <row r="398" spans="1:11" ht="45" x14ac:dyDescent="0.25">
      <c r="A398" s="171"/>
      <c r="B398" s="157" t="s">
        <v>290</v>
      </c>
      <c r="C398" s="172" t="s">
        <v>1640</v>
      </c>
      <c r="D398" s="172" t="s">
        <v>1270</v>
      </c>
      <c r="E398" s="181">
        <v>896687</v>
      </c>
      <c r="F398" s="181">
        <v>954817</v>
      </c>
      <c r="G398" s="181">
        <v>1031832</v>
      </c>
      <c r="H398" s="181">
        <v>1043624</v>
      </c>
      <c r="I398" s="319">
        <v>1121118</v>
      </c>
      <c r="J398" s="181">
        <v>1177229</v>
      </c>
      <c r="K398" s="173"/>
    </row>
    <row r="399" spans="1:11" ht="30" x14ac:dyDescent="0.25">
      <c r="A399" s="171"/>
      <c r="B399" s="157" t="s">
        <v>291</v>
      </c>
      <c r="C399" s="172" t="s">
        <v>1640</v>
      </c>
      <c r="D399" s="172" t="s">
        <v>1270</v>
      </c>
      <c r="E399" s="181">
        <v>0</v>
      </c>
      <c r="F399" s="181">
        <v>0</v>
      </c>
      <c r="G399" s="181">
        <v>0</v>
      </c>
      <c r="H399" s="181">
        <v>0</v>
      </c>
      <c r="I399" s="319">
        <v>0</v>
      </c>
      <c r="J399" s="181">
        <v>0</v>
      </c>
    </row>
    <row r="400" spans="1:11" ht="42.75" x14ac:dyDescent="0.25">
      <c r="A400" s="182" t="s">
        <v>293</v>
      </c>
      <c r="B400" s="183" t="s">
        <v>292</v>
      </c>
      <c r="C400" s="171"/>
      <c r="D400" s="171"/>
      <c r="E400" s="171"/>
      <c r="F400" s="171"/>
      <c r="G400" s="171"/>
      <c r="H400" s="171"/>
      <c r="I400" s="317"/>
      <c r="J400" s="171"/>
    </row>
    <row r="401" spans="1:10" ht="30" x14ac:dyDescent="0.25">
      <c r="A401" s="172" t="s">
        <v>295</v>
      </c>
      <c r="B401" s="157" t="s">
        <v>300</v>
      </c>
      <c r="C401" s="172"/>
      <c r="D401" s="172"/>
      <c r="E401" s="210"/>
      <c r="F401" s="210"/>
      <c r="G401" s="210"/>
      <c r="H401" s="210"/>
      <c r="I401" s="328"/>
      <c r="J401" s="210"/>
    </row>
    <row r="402" spans="1:10" x14ac:dyDescent="0.25">
      <c r="A402" s="184"/>
      <c r="B402" s="185" t="s">
        <v>1333</v>
      </c>
      <c r="C402" s="171"/>
      <c r="D402" s="172" t="s">
        <v>9</v>
      </c>
      <c r="E402" s="164">
        <f t="shared" ref="E402:J402" si="117">((E404+E405+E408)/(E409+E410+E413))*100</f>
        <v>95.652173913043484</v>
      </c>
      <c r="F402" s="164">
        <f t="shared" si="117"/>
        <v>95.454545454545453</v>
      </c>
      <c r="G402" s="164">
        <f t="shared" si="117"/>
        <v>100</v>
      </c>
      <c r="H402" s="164">
        <f t="shared" si="117"/>
        <v>100</v>
      </c>
      <c r="I402" s="318">
        <f t="shared" si="117"/>
        <v>100</v>
      </c>
      <c r="J402" s="164">
        <f t="shared" si="117"/>
        <v>100</v>
      </c>
    </row>
    <row r="403" spans="1:10" x14ac:dyDescent="0.25">
      <c r="A403" s="184"/>
      <c r="B403" s="185" t="s">
        <v>1335</v>
      </c>
      <c r="C403" s="171"/>
      <c r="D403" s="172" t="s">
        <v>9</v>
      </c>
      <c r="E403" s="164" t="e">
        <f t="shared" ref="E403:J403" si="118">((E406+E407)/(E411+E412))*100</f>
        <v>#DIV/0!</v>
      </c>
      <c r="F403" s="164" t="e">
        <f t="shared" si="118"/>
        <v>#DIV/0!</v>
      </c>
      <c r="G403" s="164" t="e">
        <f t="shared" si="118"/>
        <v>#DIV/0!</v>
      </c>
      <c r="H403" s="164" t="e">
        <f t="shared" si="118"/>
        <v>#DIV/0!</v>
      </c>
      <c r="I403" s="318" t="e">
        <f t="shared" si="118"/>
        <v>#DIV/0!</v>
      </c>
      <c r="J403" s="164" t="e">
        <f t="shared" si="118"/>
        <v>#DIV/0!</v>
      </c>
    </row>
    <row r="404" spans="1:10" x14ac:dyDescent="0.25">
      <c r="A404" s="418"/>
      <c r="B404" s="422" t="s">
        <v>301</v>
      </c>
      <c r="C404" s="172" t="s">
        <v>1634</v>
      </c>
      <c r="D404" s="172" t="s">
        <v>1268</v>
      </c>
      <c r="E404" s="165">
        <v>5</v>
      </c>
      <c r="F404" s="165">
        <v>5</v>
      </c>
      <c r="G404" s="162">
        <v>5</v>
      </c>
      <c r="H404" s="162">
        <v>5</v>
      </c>
      <c r="I404" s="322">
        <v>5</v>
      </c>
      <c r="J404" s="162">
        <v>5</v>
      </c>
    </row>
    <row r="405" spans="1:10" x14ac:dyDescent="0.25">
      <c r="A405" s="419"/>
      <c r="B405" s="423"/>
      <c r="C405" s="172" t="s">
        <v>1634</v>
      </c>
      <c r="D405" s="172" t="s">
        <v>1268</v>
      </c>
      <c r="E405" s="165">
        <v>17</v>
      </c>
      <c r="F405" s="165">
        <v>16</v>
      </c>
      <c r="G405" s="162">
        <v>16</v>
      </c>
      <c r="H405" s="162">
        <v>15</v>
      </c>
      <c r="I405" s="322">
        <v>14</v>
      </c>
      <c r="J405" s="162">
        <v>13</v>
      </c>
    </row>
    <row r="406" spans="1:10" x14ac:dyDescent="0.25">
      <c r="A406" s="419"/>
      <c r="B406" s="423"/>
      <c r="C406" s="172" t="s">
        <v>1634</v>
      </c>
      <c r="D406" s="172" t="s">
        <v>1268</v>
      </c>
      <c r="E406" s="162">
        <v>0</v>
      </c>
      <c r="F406" s="162">
        <v>0</v>
      </c>
      <c r="G406" s="162">
        <v>0</v>
      </c>
      <c r="H406" s="162">
        <v>0</v>
      </c>
      <c r="I406" s="322">
        <v>0</v>
      </c>
      <c r="J406" s="162">
        <v>0</v>
      </c>
    </row>
    <row r="407" spans="1:10" x14ac:dyDescent="0.25">
      <c r="A407" s="420"/>
      <c r="B407" s="424"/>
      <c r="C407" s="172" t="s">
        <v>1634</v>
      </c>
      <c r="D407" s="172" t="s">
        <v>1268</v>
      </c>
      <c r="E407" s="162">
        <v>0</v>
      </c>
      <c r="F407" s="162">
        <v>0</v>
      </c>
      <c r="G407" s="162">
        <v>0</v>
      </c>
      <c r="H407" s="162">
        <v>0</v>
      </c>
      <c r="I407" s="322">
        <v>0</v>
      </c>
      <c r="J407" s="162">
        <v>0</v>
      </c>
    </row>
    <row r="408" spans="1:10" ht="60" x14ac:dyDescent="0.25">
      <c r="A408" s="172"/>
      <c r="B408" s="157" t="s">
        <v>302</v>
      </c>
      <c r="C408" s="172" t="s">
        <v>303</v>
      </c>
      <c r="D408" s="172" t="s">
        <v>1268</v>
      </c>
      <c r="E408" s="162">
        <v>0</v>
      </c>
      <c r="F408" s="162">
        <v>0</v>
      </c>
      <c r="G408" s="162">
        <v>0</v>
      </c>
      <c r="H408" s="162">
        <v>0</v>
      </c>
      <c r="I408" s="322">
        <v>0</v>
      </c>
      <c r="J408" s="162">
        <v>0</v>
      </c>
    </row>
    <row r="409" spans="1:10" x14ac:dyDescent="0.25">
      <c r="A409" s="418"/>
      <c r="B409" s="422" t="s">
        <v>206</v>
      </c>
      <c r="C409" s="172" t="s">
        <v>1634</v>
      </c>
      <c r="D409" s="172" t="s">
        <v>1268</v>
      </c>
      <c r="E409" s="165">
        <v>5</v>
      </c>
      <c r="F409" s="165">
        <v>5</v>
      </c>
      <c r="G409" s="162">
        <v>5</v>
      </c>
      <c r="H409" s="162">
        <v>5</v>
      </c>
      <c r="I409" s="322">
        <v>5</v>
      </c>
      <c r="J409" s="162">
        <v>5</v>
      </c>
    </row>
    <row r="410" spans="1:10" x14ac:dyDescent="0.25">
      <c r="A410" s="419"/>
      <c r="B410" s="423"/>
      <c r="C410" s="172" t="s">
        <v>1634</v>
      </c>
      <c r="D410" s="172" t="s">
        <v>1268</v>
      </c>
      <c r="E410" s="165">
        <v>18</v>
      </c>
      <c r="F410" s="165">
        <v>17</v>
      </c>
      <c r="G410" s="162">
        <v>16</v>
      </c>
      <c r="H410" s="162">
        <v>15</v>
      </c>
      <c r="I410" s="322">
        <v>14</v>
      </c>
      <c r="J410" s="162">
        <v>13</v>
      </c>
    </row>
    <row r="411" spans="1:10" x14ac:dyDescent="0.25">
      <c r="A411" s="419"/>
      <c r="B411" s="423"/>
      <c r="C411" s="172" t="s">
        <v>1634</v>
      </c>
      <c r="D411" s="172" t="s">
        <v>1268</v>
      </c>
      <c r="E411" s="162">
        <v>0</v>
      </c>
      <c r="F411" s="162">
        <v>0</v>
      </c>
      <c r="G411" s="162">
        <v>0</v>
      </c>
      <c r="H411" s="162">
        <v>0</v>
      </c>
      <c r="I411" s="322">
        <v>0</v>
      </c>
      <c r="J411" s="162">
        <v>0</v>
      </c>
    </row>
    <row r="412" spans="1:10" x14ac:dyDescent="0.25">
      <c r="A412" s="420"/>
      <c r="B412" s="424"/>
      <c r="C412" s="172" t="s">
        <v>1634</v>
      </c>
      <c r="D412" s="172" t="s">
        <v>1268</v>
      </c>
      <c r="E412" s="162">
        <v>0</v>
      </c>
      <c r="F412" s="162">
        <v>0</v>
      </c>
      <c r="G412" s="162">
        <v>0</v>
      </c>
      <c r="H412" s="162">
        <v>0</v>
      </c>
      <c r="I412" s="322">
        <v>0</v>
      </c>
      <c r="J412" s="162">
        <v>0</v>
      </c>
    </row>
    <row r="413" spans="1:10" ht="60" x14ac:dyDescent="0.25">
      <c r="A413" s="172"/>
      <c r="B413" s="157" t="s">
        <v>226</v>
      </c>
      <c r="C413" s="172" t="s">
        <v>208</v>
      </c>
      <c r="D413" s="172" t="s">
        <v>1268</v>
      </c>
      <c r="E413" s="162">
        <v>0</v>
      </c>
      <c r="F413" s="162">
        <v>0</v>
      </c>
      <c r="G413" s="162">
        <v>0</v>
      </c>
      <c r="H413" s="162">
        <v>0</v>
      </c>
      <c r="I413" s="322">
        <v>0</v>
      </c>
      <c r="J413" s="162">
        <v>0</v>
      </c>
    </row>
    <row r="414" spans="1:10" ht="45" x14ac:dyDescent="0.25">
      <c r="A414" s="172" t="s">
        <v>297</v>
      </c>
      <c r="B414" s="157" t="s">
        <v>308</v>
      </c>
      <c r="C414" s="172"/>
      <c r="D414" s="172" t="s">
        <v>9</v>
      </c>
      <c r="E414" s="164"/>
      <c r="F414" s="164"/>
      <c r="G414" s="164"/>
      <c r="H414" s="164"/>
      <c r="I414" s="318"/>
      <c r="J414" s="164"/>
    </row>
    <row r="415" spans="1:10" x14ac:dyDescent="0.25">
      <c r="A415" s="184"/>
      <c r="B415" s="185" t="s">
        <v>1333</v>
      </c>
      <c r="C415" s="171"/>
      <c r="D415" s="172" t="s">
        <v>9</v>
      </c>
      <c r="E415" s="164">
        <f t="shared" ref="E415:J415" si="119">((E417+E418+E421)/(E422+E423+E426))*100</f>
        <v>0</v>
      </c>
      <c r="F415" s="164">
        <f t="shared" si="119"/>
        <v>0</v>
      </c>
      <c r="G415" s="164">
        <f t="shared" si="119"/>
        <v>0</v>
      </c>
      <c r="H415" s="164">
        <f t="shared" si="119"/>
        <v>0</v>
      </c>
      <c r="I415" s="318">
        <f t="shared" si="119"/>
        <v>0</v>
      </c>
      <c r="J415" s="164">
        <f t="shared" si="119"/>
        <v>0</v>
      </c>
    </row>
    <row r="416" spans="1:10" x14ac:dyDescent="0.25">
      <c r="A416" s="184"/>
      <c r="B416" s="185" t="s">
        <v>1335</v>
      </c>
      <c r="C416" s="171"/>
      <c r="D416" s="172" t="s">
        <v>9</v>
      </c>
      <c r="E416" s="164" t="e">
        <f t="shared" ref="E416:J416" si="120">((E419+E420)/(E424+E425))*100</f>
        <v>#DIV/0!</v>
      </c>
      <c r="F416" s="164" t="e">
        <f t="shared" si="120"/>
        <v>#DIV/0!</v>
      </c>
      <c r="G416" s="164" t="e">
        <f t="shared" si="120"/>
        <v>#DIV/0!</v>
      </c>
      <c r="H416" s="164" t="e">
        <f t="shared" si="120"/>
        <v>#DIV/0!</v>
      </c>
      <c r="I416" s="318" t="e">
        <f t="shared" si="120"/>
        <v>#DIV/0!</v>
      </c>
      <c r="J416" s="164" t="e">
        <f t="shared" si="120"/>
        <v>#DIV/0!</v>
      </c>
    </row>
    <row r="417" spans="1:10" x14ac:dyDescent="0.25">
      <c r="A417" s="418"/>
      <c r="B417" s="422" t="s">
        <v>309</v>
      </c>
      <c r="C417" s="172" t="s">
        <v>1634</v>
      </c>
      <c r="D417" s="172" t="s">
        <v>1268</v>
      </c>
      <c r="E417" s="165">
        <v>0</v>
      </c>
      <c r="F417" s="165">
        <v>0</v>
      </c>
      <c r="G417" s="165">
        <v>0</v>
      </c>
      <c r="H417" s="165">
        <v>0</v>
      </c>
      <c r="I417" s="320">
        <v>0</v>
      </c>
      <c r="J417" s="165">
        <v>0</v>
      </c>
    </row>
    <row r="418" spans="1:10" x14ac:dyDescent="0.25">
      <c r="A418" s="419"/>
      <c r="B418" s="423"/>
      <c r="C418" s="172" t="s">
        <v>1634</v>
      </c>
      <c r="D418" s="172" t="s">
        <v>1268</v>
      </c>
      <c r="E418" s="165">
        <v>0</v>
      </c>
      <c r="F418" s="165">
        <v>0</v>
      </c>
      <c r="G418" s="165">
        <v>0</v>
      </c>
      <c r="H418" s="165">
        <v>0</v>
      </c>
      <c r="I418" s="320">
        <v>0</v>
      </c>
      <c r="J418" s="165">
        <v>0</v>
      </c>
    </row>
    <row r="419" spans="1:10" x14ac:dyDescent="0.25">
      <c r="A419" s="419"/>
      <c r="B419" s="423"/>
      <c r="C419" s="172" t="s">
        <v>1634</v>
      </c>
      <c r="D419" s="172" t="s">
        <v>1268</v>
      </c>
      <c r="E419" s="165">
        <v>0</v>
      </c>
      <c r="F419" s="165">
        <v>0</v>
      </c>
      <c r="G419" s="165">
        <v>0</v>
      </c>
      <c r="H419" s="165">
        <v>0</v>
      </c>
      <c r="I419" s="320">
        <v>0</v>
      </c>
      <c r="J419" s="165">
        <v>0</v>
      </c>
    </row>
    <row r="420" spans="1:10" x14ac:dyDescent="0.25">
      <c r="A420" s="420"/>
      <c r="B420" s="424"/>
      <c r="C420" s="172" t="s">
        <v>1634</v>
      </c>
      <c r="D420" s="172" t="s">
        <v>1268</v>
      </c>
      <c r="E420" s="165">
        <v>0</v>
      </c>
      <c r="F420" s="165">
        <v>0</v>
      </c>
      <c r="G420" s="165">
        <v>0</v>
      </c>
      <c r="H420" s="165">
        <v>0</v>
      </c>
      <c r="I420" s="320">
        <v>0</v>
      </c>
      <c r="J420" s="165">
        <v>0</v>
      </c>
    </row>
    <row r="421" spans="1:10" ht="60" x14ac:dyDescent="0.25">
      <c r="A421" s="172"/>
      <c r="B421" s="157" t="s">
        <v>310</v>
      </c>
      <c r="C421" s="172" t="s">
        <v>311</v>
      </c>
      <c r="D421" s="172" t="s">
        <v>1268</v>
      </c>
      <c r="E421" s="165">
        <v>0</v>
      </c>
      <c r="F421" s="165">
        <v>0</v>
      </c>
      <c r="G421" s="165">
        <v>0</v>
      </c>
      <c r="H421" s="165">
        <v>0</v>
      </c>
      <c r="I421" s="320">
        <v>0</v>
      </c>
      <c r="J421" s="165">
        <v>0</v>
      </c>
    </row>
    <row r="422" spans="1:10" x14ac:dyDescent="0.25">
      <c r="A422" s="418"/>
      <c r="B422" s="422" t="s">
        <v>206</v>
      </c>
      <c r="C422" s="172" t="s">
        <v>1634</v>
      </c>
      <c r="D422" s="172" t="s">
        <v>1268</v>
      </c>
      <c r="E422" s="165">
        <v>5</v>
      </c>
      <c r="F422" s="165">
        <v>5</v>
      </c>
      <c r="G422" s="165">
        <v>5</v>
      </c>
      <c r="H422" s="165">
        <v>5</v>
      </c>
      <c r="I422" s="320">
        <v>5</v>
      </c>
      <c r="J422" s="165">
        <v>5</v>
      </c>
    </row>
    <row r="423" spans="1:10" x14ac:dyDescent="0.25">
      <c r="A423" s="419"/>
      <c r="B423" s="423"/>
      <c r="C423" s="172" t="s">
        <v>1634</v>
      </c>
      <c r="D423" s="172" t="s">
        <v>1268</v>
      </c>
      <c r="E423" s="165">
        <v>18</v>
      </c>
      <c r="F423" s="165">
        <v>17</v>
      </c>
      <c r="G423" s="165">
        <v>16</v>
      </c>
      <c r="H423" s="165">
        <v>15</v>
      </c>
      <c r="I423" s="320">
        <v>14</v>
      </c>
      <c r="J423" s="165">
        <v>13</v>
      </c>
    </row>
    <row r="424" spans="1:10" x14ac:dyDescent="0.25">
      <c r="A424" s="419"/>
      <c r="B424" s="423"/>
      <c r="C424" s="172" t="s">
        <v>1634</v>
      </c>
      <c r="D424" s="172" t="s">
        <v>1268</v>
      </c>
      <c r="E424" s="165">
        <v>0</v>
      </c>
      <c r="F424" s="165">
        <v>0</v>
      </c>
      <c r="G424" s="165">
        <v>0</v>
      </c>
      <c r="H424" s="165">
        <v>0</v>
      </c>
      <c r="I424" s="320">
        <v>0</v>
      </c>
      <c r="J424" s="165">
        <v>0</v>
      </c>
    </row>
    <row r="425" spans="1:10" x14ac:dyDescent="0.25">
      <c r="A425" s="420"/>
      <c r="B425" s="424"/>
      <c r="C425" s="172" t="s">
        <v>1634</v>
      </c>
      <c r="D425" s="172" t="s">
        <v>1268</v>
      </c>
      <c r="E425" s="165">
        <v>0</v>
      </c>
      <c r="F425" s="165">
        <v>0</v>
      </c>
      <c r="G425" s="165">
        <v>0</v>
      </c>
      <c r="H425" s="165">
        <v>0</v>
      </c>
      <c r="I425" s="320">
        <v>0</v>
      </c>
      <c r="J425" s="165">
        <v>0</v>
      </c>
    </row>
    <row r="426" spans="1:10" ht="60" x14ac:dyDescent="0.25">
      <c r="A426" s="172"/>
      <c r="B426" s="157" t="s">
        <v>226</v>
      </c>
      <c r="C426" s="172" t="s">
        <v>208</v>
      </c>
      <c r="D426" s="172" t="s">
        <v>1268</v>
      </c>
      <c r="E426" s="165">
        <v>0</v>
      </c>
      <c r="F426" s="165">
        <v>0</v>
      </c>
      <c r="G426" s="165">
        <v>0</v>
      </c>
      <c r="H426" s="165">
        <v>0</v>
      </c>
      <c r="I426" s="320">
        <v>0</v>
      </c>
      <c r="J426" s="165">
        <v>0</v>
      </c>
    </row>
    <row r="427" spans="1:10" ht="45" x14ac:dyDescent="0.25">
      <c r="A427" s="172" t="s">
        <v>299</v>
      </c>
      <c r="B427" s="157" t="s">
        <v>313</v>
      </c>
      <c r="C427" s="172"/>
      <c r="D427" s="172"/>
      <c r="E427" s="210"/>
      <c r="F427" s="210"/>
      <c r="G427" s="210"/>
      <c r="H427" s="210"/>
      <c r="I427" s="328"/>
      <c r="J427" s="210"/>
    </row>
    <row r="428" spans="1:10" x14ac:dyDescent="0.25">
      <c r="A428" s="184"/>
      <c r="B428" s="185" t="s">
        <v>1333</v>
      </c>
      <c r="C428" s="171"/>
      <c r="D428" s="172" t="s">
        <v>9</v>
      </c>
      <c r="E428" s="164">
        <f>((E430+E431+E434)/(E435+E436+E439))*100</f>
        <v>4.3478260869565215</v>
      </c>
      <c r="F428" s="164">
        <f>((F430+F431+F434)/(F435+F436+F439))*100</f>
        <v>4.5454545454545459</v>
      </c>
      <c r="G428" s="164">
        <f>((G430+G431+G434)/(G435+G436+G439))*100</f>
        <v>4.7619047619047619</v>
      </c>
      <c r="H428" s="164">
        <f>((H430+H431+H434)/(H435+H436+H439))*100</f>
        <v>5</v>
      </c>
      <c r="I428" s="318">
        <f>((I430+I431+I434)/(I435+I436+I439))*100</f>
        <v>0</v>
      </c>
      <c r="J428" s="164">
        <v>0</v>
      </c>
    </row>
    <row r="429" spans="1:10" x14ac:dyDescent="0.25">
      <c r="A429" s="184"/>
      <c r="B429" s="185" t="s">
        <v>1335</v>
      </c>
      <c r="C429" s="171"/>
      <c r="D429" s="172" t="s">
        <v>9</v>
      </c>
      <c r="E429" s="164" t="e">
        <f t="shared" ref="E429:J429" si="121">((E432+E433)/(E437+E438))*100</f>
        <v>#DIV/0!</v>
      </c>
      <c r="F429" s="164" t="e">
        <f t="shared" si="121"/>
        <v>#DIV/0!</v>
      </c>
      <c r="G429" s="164" t="e">
        <f t="shared" si="121"/>
        <v>#DIV/0!</v>
      </c>
      <c r="H429" s="164" t="e">
        <f t="shared" si="121"/>
        <v>#DIV/0!</v>
      </c>
      <c r="I429" s="318" t="e">
        <f t="shared" si="121"/>
        <v>#DIV/0!</v>
      </c>
      <c r="J429" s="164" t="e">
        <f t="shared" si="121"/>
        <v>#DIV/0!</v>
      </c>
    </row>
    <row r="430" spans="1:10" x14ac:dyDescent="0.25">
      <c r="A430" s="418"/>
      <c r="B430" s="422" t="s">
        <v>314</v>
      </c>
      <c r="C430" s="172" t="s">
        <v>1634</v>
      </c>
      <c r="D430" s="172" t="s">
        <v>1268</v>
      </c>
      <c r="E430" s="165">
        <v>0</v>
      </c>
      <c r="F430" s="165">
        <v>0</v>
      </c>
      <c r="G430" s="165">
        <v>1</v>
      </c>
      <c r="H430" s="165">
        <v>1</v>
      </c>
      <c r="I430" s="320">
        <v>0</v>
      </c>
      <c r="J430" s="165">
        <v>0</v>
      </c>
    </row>
    <row r="431" spans="1:10" x14ac:dyDescent="0.25">
      <c r="A431" s="419"/>
      <c r="B431" s="423"/>
      <c r="C431" s="172" t="s">
        <v>1634</v>
      </c>
      <c r="D431" s="172" t="s">
        <v>1268</v>
      </c>
      <c r="E431" s="165">
        <v>1</v>
      </c>
      <c r="F431" s="165">
        <v>1</v>
      </c>
      <c r="G431" s="165">
        <v>0</v>
      </c>
      <c r="H431" s="165">
        <v>0</v>
      </c>
      <c r="I431" s="320">
        <v>0</v>
      </c>
      <c r="J431" s="165">
        <v>0</v>
      </c>
    </row>
    <row r="432" spans="1:10" x14ac:dyDescent="0.25">
      <c r="A432" s="419"/>
      <c r="B432" s="423"/>
      <c r="C432" s="172" t="s">
        <v>1634</v>
      </c>
      <c r="D432" s="172" t="s">
        <v>1268</v>
      </c>
      <c r="E432" s="165">
        <v>0</v>
      </c>
      <c r="F432" s="165">
        <v>0</v>
      </c>
      <c r="G432" s="165">
        <v>0</v>
      </c>
      <c r="H432" s="165">
        <v>0</v>
      </c>
      <c r="I432" s="320">
        <v>0</v>
      </c>
      <c r="J432" s="165">
        <v>0</v>
      </c>
    </row>
    <row r="433" spans="1:10" x14ac:dyDescent="0.25">
      <c r="A433" s="420"/>
      <c r="B433" s="424"/>
      <c r="C433" s="172" t="s">
        <v>1634</v>
      </c>
      <c r="D433" s="172" t="s">
        <v>1268</v>
      </c>
      <c r="E433" s="165">
        <v>0</v>
      </c>
      <c r="F433" s="165">
        <v>0</v>
      </c>
      <c r="G433" s="165">
        <v>0</v>
      </c>
      <c r="H433" s="165">
        <v>0</v>
      </c>
      <c r="I433" s="320">
        <v>0</v>
      </c>
      <c r="J433" s="165">
        <v>0</v>
      </c>
    </row>
    <row r="434" spans="1:10" ht="60" x14ac:dyDescent="0.25">
      <c r="A434" s="172"/>
      <c r="B434" s="157" t="s">
        <v>315</v>
      </c>
      <c r="C434" s="172" t="s">
        <v>316</v>
      </c>
      <c r="D434" s="172" t="s">
        <v>1268</v>
      </c>
      <c r="E434" s="165">
        <v>0</v>
      </c>
      <c r="F434" s="165">
        <v>0</v>
      </c>
      <c r="G434" s="165">
        <v>0</v>
      </c>
      <c r="H434" s="165">
        <v>0</v>
      </c>
      <c r="I434" s="320">
        <v>0</v>
      </c>
      <c r="J434" s="165">
        <v>0</v>
      </c>
    </row>
    <row r="435" spans="1:10" x14ac:dyDescent="0.25">
      <c r="A435" s="418"/>
      <c r="B435" s="422" t="s">
        <v>206</v>
      </c>
      <c r="C435" s="172" t="s">
        <v>1634</v>
      </c>
      <c r="D435" s="172" t="s">
        <v>1268</v>
      </c>
      <c r="E435" s="165">
        <v>5</v>
      </c>
      <c r="F435" s="165">
        <v>5</v>
      </c>
      <c r="G435" s="165">
        <v>5</v>
      </c>
      <c r="H435" s="165">
        <v>5</v>
      </c>
      <c r="I435" s="320">
        <v>5</v>
      </c>
      <c r="J435" s="165">
        <v>5</v>
      </c>
    </row>
    <row r="436" spans="1:10" x14ac:dyDescent="0.25">
      <c r="A436" s="419"/>
      <c r="B436" s="423"/>
      <c r="C436" s="172" t="s">
        <v>1634</v>
      </c>
      <c r="D436" s="172" t="s">
        <v>1268</v>
      </c>
      <c r="E436" s="165">
        <v>18</v>
      </c>
      <c r="F436" s="165">
        <v>17</v>
      </c>
      <c r="G436" s="165">
        <v>16</v>
      </c>
      <c r="H436" s="165">
        <v>15</v>
      </c>
      <c r="I436" s="320">
        <v>14</v>
      </c>
      <c r="J436" s="165">
        <v>13</v>
      </c>
    </row>
    <row r="437" spans="1:10" x14ac:dyDescent="0.25">
      <c r="A437" s="419"/>
      <c r="B437" s="423"/>
      <c r="C437" s="172" t="s">
        <v>1634</v>
      </c>
      <c r="D437" s="172" t="s">
        <v>1268</v>
      </c>
      <c r="E437" s="165">
        <v>0</v>
      </c>
      <c r="F437" s="165">
        <v>0</v>
      </c>
      <c r="G437" s="165">
        <v>0</v>
      </c>
      <c r="H437" s="165">
        <v>0</v>
      </c>
      <c r="I437" s="320">
        <v>0</v>
      </c>
      <c r="J437" s="165">
        <v>0</v>
      </c>
    </row>
    <row r="438" spans="1:10" x14ac:dyDescent="0.25">
      <c r="A438" s="420"/>
      <c r="B438" s="424"/>
      <c r="C438" s="172" t="s">
        <v>1634</v>
      </c>
      <c r="D438" s="172" t="s">
        <v>1268</v>
      </c>
      <c r="E438" s="165">
        <v>0</v>
      </c>
      <c r="F438" s="165">
        <v>0</v>
      </c>
      <c r="G438" s="165">
        <v>0</v>
      </c>
      <c r="H438" s="165">
        <v>0</v>
      </c>
      <c r="I438" s="320">
        <v>0</v>
      </c>
      <c r="J438" s="165">
        <v>0</v>
      </c>
    </row>
    <row r="439" spans="1:10" ht="60" x14ac:dyDescent="0.25">
      <c r="A439" s="172"/>
      <c r="B439" s="157" t="s">
        <v>226</v>
      </c>
      <c r="C439" s="172" t="s">
        <v>208</v>
      </c>
      <c r="D439" s="172" t="s">
        <v>1268</v>
      </c>
      <c r="E439" s="165">
        <v>0</v>
      </c>
      <c r="F439" s="165">
        <v>0</v>
      </c>
      <c r="G439" s="165">
        <v>0</v>
      </c>
      <c r="H439" s="165">
        <v>0</v>
      </c>
      <c r="I439" s="320">
        <v>0</v>
      </c>
      <c r="J439" s="165">
        <v>0</v>
      </c>
    </row>
  </sheetData>
  <mergeCells count="165">
    <mergeCell ref="A417:A420"/>
    <mergeCell ref="B417:B420"/>
    <mergeCell ref="A422:A425"/>
    <mergeCell ref="B422:B425"/>
    <mergeCell ref="A430:A433"/>
    <mergeCell ref="B430:B433"/>
    <mergeCell ref="A435:A438"/>
    <mergeCell ref="B435:B438"/>
    <mergeCell ref="A404:A407"/>
    <mergeCell ref="B404:B407"/>
    <mergeCell ref="A409:A412"/>
    <mergeCell ref="B409:B412"/>
    <mergeCell ref="D24:D25"/>
    <mergeCell ref="D351:D352"/>
    <mergeCell ref="D354:D355"/>
    <mergeCell ref="D356:D357"/>
    <mergeCell ref="D325:D326"/>
    <mergeCell ref="D327:D328"/>
    <mergeCell ref="D331:D332"/>
    <mergeCell ref="D336:D337"/>
    <mergeCell ref="D338:D339"/>
    <mergeCell ref="D341:D342"/>
    <mergeCell ref="D343:D344"/>
    <mergeCell ref="D349:D350"/>
    <mergeCell ref="D193:D194"/>
    <mergeCell ref="D195:D196"/>
    <mergeCell ref="D197:D198"/>
    <mergeCell ref="D199:D200"/>
    <mergeCell ref="D201:D202"/>
    <mergeCell ref="D207:D208"/>
    <mergeCell ref="D209:D210"/>
    <mergeCell ref="D212:D213"/>
    <mergeCell ref="D214:D215"/>
    <mergeCell ref="D150:D151"/>
    <mergeCell ref="D191:D192"/>
    <mergeCell ref="D163:D164"/>
    <mergeCell ref="C304:C306"/>
    <mergeCell ref="D304:D306"/>
    <mergeCell ref="A307:A309"/>
    <mergeCell ref="C307:C309"/>
    <mergeCell ref="D307:D309"/>
    <mergeCell ref="D314:D315"/>
    <mergeCell ref="D316:D317"/>
    <mergeCell ref="D319:D320"/>
    <mergeCell ref="A287:A288"/>
    <mergeCell ref="D287:D288"/>
    <mergeCell ref="A290:A291"/>
    <mergeCell ref="D290:D291"/>
    <mergeCell ref="A295:A297"/>
    <mergeCell ref="C295:C297"/>
    <mergeCell ref="D295:D297"/>
    <mergeCell ref="A298:A300"/>
    <mergeCell ref="C298:C300"/>
    <mergeCell ref="D298:D300"/>
    <mergeCell ref="A304:A306"/>
    <mergeCell ref="C286:C288"/>
    <mergeCell ref="C289:C291"/>
    <mergeCell ref="B314:B315"/>
    <mergeCell ref="D138:D139"/>
    <mergeCell ref="A251:A253"/>
    <mergeCell ref="A254:A256"/>
    <mergeCell ref="D284:D285"/>
    <mergeCell ref="C220:C222"/>
    <mergeCell ref="D220:D222"/>
    <mergeCell ref="C223:C225"/>
    <mergeCell ref="D223:D225"/>
    <mergeCell ref="A245:A247"/>
    <mergeCell ref="A248:A250"/>
    <mergeCell ref="A229:A231"/>
    <mergeCell ref="A232:A234"/>
    <mergeCell ref="A235:A237"/>
    <mergeCell ref="C283:C285"/>
    <mergeCell ref="B195:B198"/>
    <mergeCell ref="A195:A198"/>
    <mergeCell ref="B171:B174"/>
    <mergeCell ref="A144:A146"/>
    <mergeCell ref="A138:A139"/>
    <mergeCell ref="A226:A228"/>
    <mergeCell ref="B201:B202"/>
    <mergeCell ref="A201:A202"/>
    <mergeCell ref="B207:B210"/>
    <mergeCell ref="A207:A210"/>
    <mergeCell ref="A87:A88"/>
    <mergeCell ref="A101:A102"/>
    <mergeCell ref="B101:B102"/>
    <mergeCell ref="A103:A104"/>
    <mergeCell ref="B103:B104"/>
    <mergeCell ref="A136:A137"/>
    <mergeCell ref="B136:B137"/>
    <mergeCell ref="A84:A86"/>
    <mergeCell ref="D87:D88"/>
    <mergeCell ref="A92:A94"/>
    <mergeCell ref="D95:D96"/>
    <mergeCell ref="D101:D102"/>
    <mergeCell ref="A95:A96"/>
    <mergeCell ref="B95:B96"/>
    <mergeCell ref="A108:A109"/>
    <mergeCell ref="B108:B109"/>
    <mergeCell ref="A349:A352"/>
    <mergeCell ref="B349:B352"/>
    <mergeCell ref="A354:A357"/>
    <mergeCell ref="B354:B357"/>
    <mergeCell ref="A336:A339"/>
    <mergeCell ref="B336:B339"/>
    <mergeCell ref="B179:B182"/>
    <mergeCell ref="B191:B194"/>
    <mergeCell ref="A179:A182"/>
    <mergeCell ref="B212:B215"/>
    <mergeCell ref="A212:A215"/>
    <mergeCell ref="B319:B320"/>
    <mergeCell ref="A319:A320"/>
    <mergeCell ref="B325:B328"/>
    <mergeCell ref="A325:A328"/>
    <mergeCell ref="B329:B332"/>
    <mergeCell ref="A329:A332"/>
    <mergeCell ref="A341:A344"/>
    <mergeCell ref="B341:B344"/>
    <mergeCell ref="A171:A174"/>
    <mergeCell ref="B163:B166"/>
    <mergeCell ref="B167:B170"/>
    <mergeCell ref="A7:I7"/>
    <mergeCell ref="A8:I8"/>
    <mergeCell ref="A4:G4"/>
    <mergeCell ref="A147:A149"/>
    <mergeCell ref="A191:A194"/>
    <mergeCell ref="B138:B139"/>
    <mergeCell ref="D165:D166"/>
    <mergeCell ref="D167:D168"/>
    <mergeCell ref="D169:D170"/>
    <mergeCell ref="D171:D172"/>
    <mergeCell ref="D173:D174"/>
    <mergeCell ref="D179:D180"/>
    <mergeCell ref="D176:D178"/>
    <mergeCell ref="D181:D182"/>
    <mergeCell ref="C26:C28"/>
    <mergeCell ref="D26:D28"/>
    <mergeCell ref="D103:D104"/>
    <mergeCell ref="D108:D109"/>
    <mergeCell ref="A110:A111"/>
    <mergeCell ref="B110:B111"/>
    <mergeCell ref="B87:B88"/>
    <mergeCell ref="A3:G3"/>
    <mergeCell ref="A20:A22"/>
    <mergeCell ref="C20:C22"/>
    <mergeCell ref="D93:D94"/>
    <mergeCell ref="D85:D86"/>
    <mergeCell ref="A167:A170"/>
    <mergeCell ref="A163:A166"/>
    <mergeCell ref="A60:A62"/>
    <mergeCell ref="A63:A65"/>
    <mergeCell ref="A66:A68"/>
    <mergeCell ref="C17:C19"/>
    <mergeCell ref="D17:D19"/>
    <mergeCell ref="A48:A50"/>
    <mergeCell ref="A51:A53"/>
    <mergeCell ref="A54:A56"/>
    <mergeCell ref="D20:D22"/>
    <mergeCell ref="A23:A25"/>
    <mergeCell ref="A29:A31"/>
    <mergeCell ref="C29:C31"/>
    <mergeCell ref="D29:D31"/>
    <mergeCell ref="A32:A34"/>
    <mergeCell ref="D110:D111"/>
    <mergeCell ref="D134:D135"/>
    <mergeCell ref="D136:D137"/>
  </mergeCells>
  <dataValidations count="3">
    <dataValidation type="whole" allowBlank="1" showInputMessage="1" showErrorMessage="1" errorTitle="Ошибка ввода" error="Попытка ввести данные отличные от числовых или целочисленных" sqref="F72 E251:J281 E20:J20 E33:J33 G21:J21 E84:J84 G24:J24 E25:J25 E226:J226 E22:J23 E169:J170 E165:J166 E11:J11 G12:J12 E191:J198 E349:J349 E231:J238 G55:J55 E201:J203 E248:J248 E325:J332 E181:J182 E173:J174 E92:J94 E56:J56 E50:J50 E60:J63 E54:J54 E228:J229 E66:J68 E314:J321 E146:J146 E86:J86 E240:J245 E73:J73 G85:J85 E136:J144 E148:J151 E336:J339 E212:J215 E75:J77 E351:J351">
      <formula1>0</formula1>
      <formula2>999999999999</formula2>
    </dataValidation>
    <dataValidation type="whole" allowBlank="1" showInputMessage="1" showErrorMessage="1" errorTitle="Ошибка ввода" error="Попытка ввсети: данные отличные от числовых; данные отличные от целочисленных; отрицательное число" sqref="E397:J399 E389:J392">
      <formula1>0</formula1>
      <formula2>999999999999</formula2>
    </dataValidation>
    <dataValidation type="whole" allowBlank="1" showInputMessage="1" showErrorMessage="1" errorTitle="Ошибка ввода" error="Попытка ввсети данные отличные от числовых или целочисленных" sqref="E95:J96 E103:J104 E88:J88 E110:J111">
      <formula1>0</formula1>
      <formula2>999999999999</formula2>
    </dataValidation>
  </dataValidations>
  <pageMargins left="0.70866141732283472" right="0.70866141732283472" top="0.74803149606299213" bottom="0.74803149606299213" header="0.31496062992125984" footer="0.31496062992125984"/>
  <pageSetup paperSize="9" scale="10" orientation="portrait" r:id="rId1"/>
  <rowBreaks count="1" manualBreakCount="1">
    <brk id="42" max="8" man="1"/>
  </rowBreaks>
  <colBreaks count="1" manualBreakCount="1">
    <brk id="10" max="31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I490"/>
  <sheetViews>
    <sheetView workbookViewId="0"/>
  </sheetViews>
  <sheetFormatPr defaultRowHeight="15" x14ac:dyDescent="0.25"/>
  <cols>
    <col min="2" max="2" width="75.140625" customWidth="1"/>
    <col min="3" max="3" width="20.140625" customWidth="1"/>
    <col min="4" max="4" width="16.140625" customWidth="1"/>
    <col min="5" max="7" width="12.140625" customWidth="1"/>
    <col min="8" max="8" width="41.85546875" customWidth="1"/>
  </cols>
  <sheetData>
    <row r="3" spans="1:8" ht="18.75" x14ac:dyDescent="0.3">
      <c r="A3" s="440" t="s">
        <v>0</v>
      </c>
      <c r="B3" s="440"/>
      <c r="C3" s="440"/>
      <c r="D3" s="440"/>
      <c r="E3" s="440"/>
      <c r="F3" s="440"/>
      <c r="G3" s="440"/>
      <c r="H3" s="12"/>
    </row>
    <row r="4" spans="1:8" ht="18.75" x14ac:dyDescent="0.3">
      <c r="A4" s="440" t="s">
        <v>1</v>
      </c>
      <c r="B4" s="440"/>
      <c r="C4" s="440"/>
      <c r="D4" s="440"/>
      <c r="E4" s="440"/>
      <c r="F4" s="440"/>
      <c r="G4" s="440"/>
      <c r="H4" s="14"/>
    </row>
    <row r="5" spans="1:8" x14ac:dyDescent="0.25">
      <c r="A5" s="1"/>
      <c r="B5" s="1"/>
      <c r="C5" s="1"/>
      <c r="D5" s="1"/>
      <c r="E5" s="1"/>
      <c r="F5" s="1"/>
      <c r="G5" s="1"/>
      <c r="H5" s="1"/>
    </row>
    <row r="6" spans="1:8" ht="45" x14ac:dyDescent="0.25">
      <c r="A6" s="4" t="s">
        <v>6</v>
      </c>
      <c r="B6" s="4" t="s">
        <v>380</v>
      </c>
      <c r="C6" s="5" t="s">
        <v>10</v>
      </c>
      <c r="D6" s="5" t="s">
        <v>11</v>
      </c>
      <c r="E6" s="5" t="s">
        <v>1494</v>
      </c>
      <c r="F6" s="5" t="s">
        <v>1495</v>
      </c>
      <c r="G6" s="5" t="s">
        <v>1516</v>
      </c>
      <c r="H6" s="2" t="s">
        <v>12</v>
      </c>
    </row>
    <row r="7" spans="1:8" x14ac:dyDescent="0.25">
      <c r="A7" s="439" t="s">
        <v>317</v>
      </c>
      <c r="B7" s="439"/>
      <c r="C7" s="439"/>
      <c r="D7" s="439"/>
      <c r="E7" s="439"/>
      <c r="F7" s="439"/>
      <c r="G7" s="439"/>
    </row>
    <row r="8" spans="1:8" x14ac:dyDescent="0.25">
      <c r="A8" s="439" t="s">
        <v>318</v>
      </c>
      <c r="B8" s="439"/>
      <c r="C8" s="439"/>
      <c r="D8" s="439"/>
      <c r="E8" s="439"/>
      <c r="F8" s="439"/>
      <c r="G8" s="439"/>
    </row>
    <row r="9" spans="1:8" ht="45" x14ac:dyDescent="0.25">
      <c r="A9" s="44" t="s">
        <v>319</v>
      </c>
      <c r="B9" s="45" t="s">
        <v>320</v>
      </c>
      <c r="C9" s="40"/>
      <c r="D9" s="41"/>
      <c r="E9" s="41"/>
      <c r="F9" s="41"/>
      <c r="G9" s="41"/>
    </row>
    <row r="10" spans="1:8" ht="75" x14ac:dyDescent="0.25">
      <c r="A10" s="39" t="s">
        <v>321</v>
      </c>
      <c r="B10" s="40" t="s">
        <v>322</v>
      </c>
      <c r="C10" s="40"/>
      <c r="D10" s="39" t="s">
        <v>9</v>
      </c>
      <c r="E10" s="42">
        <v>7.15</v>
      </c>
      <c r="F10" s="42">
        <v>6.99</v>
      </c>
      <c r="G10" s="42"/>
      <c r="H10" s="3" t="s">
        <v>24</v>
      </c>
    </row>
    <row r="11" spans="1:8" ht="45" x14ac:dyDescent="0.25">
      <c r="A11" s="433"/>
      <c r="B11" s="433" t="s">
        <v>323</v>
      </c>
      <c r="C11" s="6" t="s">
        <v>324</v>
      </c>
      <c r="D11" s="6" t="s">
        <v>1076</v>
      </c>
      <c r="E11" s="6"/>
      <c r="F11" s="6"/>
      <c r="G11" s="6"/>
    </row>
    <row r="12" spans="1:8" ht="30" x14ac:dyDescent="0.25">
      <c r="A12" s="435"/>
      <c r="B12" s="435"/>
      <c r="C12" s="6" t="s">
        <v>325</v>
      </c>
      <c r="D12" s="6" t="s">
        <v>1076</v>
      </c>
      <c r="E12" s="6"/>
      <c r="F12" s="6"/>
      <c r="G12" s="6"/>
    </row>
    <row r="13" spans="1:8" ht="30" x14ac:dyDescent="0.25">
      <c r="A13" s="7"/>
      <c r="B13" s="15" t="s">
        <v>326</v>
      </c>
      <c r="C13" s="6" t="s">
        <v>142</v>
      </c>
      <c r="D13" s="6" t="s">
        <v>1076</v>
      </c>
      <c r="E13" s="6"/>
      <c r="F13" s="6"/>
      <c r="G13" s="6"/>
    </row>
    <row r="14" spans="1:8" ht="75" x14ac:dyDescent="0.25">
      <c r="A14" s="39" t="s">
        <v>328</v>
      </c>
      <c r="B14" s="40" t="s">
        <v>327</v>
      </c>
      <c r="C14" s="41"/>
      <c r="D14" s="39" t="s">
        <v>9</v>
      </c>
      <c r="E14" s="42">
        <v>14.9</v>
      </c>
      <c r="F14" s="42">
        <v>22.46</v>
      </c>
      <c r="G14" s="42"/>
      <c r="H14" s="3" t="s">
        <v>24</v>
      </c>
    </row>
    <row r="15" spans="1:8" ht="60" x14ac:dyDescent="0.25">
      <c r="A15" s="7"/>
      <c r="B15" s="15" t="s">
        <v>329</v>
      </c>
      <c r="C15" s="6" t="s">
        <v>330</v>
      </c>
      <c r="D15" s="6" t="s">
        <v>1076</v>
      </c>
      <c r="E15" s="6"/>
      <c r="F15" s="6"/>
      <c r="G15" s="6"/>
    </row>
    <row r="16" spans="1:8" ht="30" x14ac:dyDescent="0.25">
      <c r="A16" s="7"/>
      <c r="B16" s="15" t="s">
        <v>331</v>
      </c>
      <c r="C16" s="6" t="s">
        <v>142</v>
      </c>
      <c r="D16" s="6" t="s">
        <v>1076</v>
      </c>
      <c r="E16" s="6"/>
      <c r="F16" s="6"/>
      <c r="G16" s="6"/>
    </row>
    <row r="17" spans="1:8" ht="45" x14ac:dyDescent="0.25">
      <c r="A17" s="94" t="s">
        <v>1522</v>
      </c>
      <c r="B17" s="87" t="s">
        <v>1525</v>
      </c>
      <c r="C17" s="106"/>
      <c r="D17" s="94" t="s">
        <v>1268</v>
      </c>
      <c r="E17" s="101" t="e">
        <f>E18/E19</f>
        <v>#DIV/0!</v>
      </c>
      <c r="F17" s="101" t="e">
        <f>F18/F19</f>
        <v>#DIV/0!</v>
      </c>
      <c r="G17" s="101" t="e">
        <f>G18/G19</f>
        <v>#DIV/0!</v>
      </c>
    </row>
    <row r="18" spans="1:8" ht="45" x14ac:dyDescent="0.25">
      <c r="A18" s="7"/>
      <c r="B18" s="15" t="s">
        <v>1523</v>
      </c>
      <c r="C18" s="6"/>
      <c r="D18" s="6" t="s">
        <v>1268</v>
      </c>
      <c r="E18" s="6"/>
      <c r="F18" s="6"/>
      <c r="G18" s="6"/>
    </row>
    <row r="19" spans="1:8" x14ac:dyDescent="0.25">
      <c r="A19" s="7"/>
      <c r="B19" s="15" t="s">
        <v>1524</v>
      </c>
      <c r="C19" s="6"/>
      <c r="D19" s="6" t="s">
        <v>1268</v>
      </c>
      <c r="E19" s="6"/>
      <c r="F19" s="6"/>
      <c r="G19" s="6"/>
    </row>
    <row r="20" spans="1:8" ht="45" x14ac:dyDescent="0.25">
      <c r="A20" s="44" t="s">
        <v>332</v>
      </c>
      <c r="B20" s="45" t="s">
        <v>333</v>
      </c>
      <c r="C20" s="41"/>
      <c r="D20" s="39"/>
      <c r="E20" s="46"/>
      <c r="F20" s="46"/>
      <c r="G20" s="46"/>
    </row>
    <row r="21" spans="1:8" ht="90" x14ac:dyDescent="0.25">
      <c r="A21" s="39" t="s">
        <v>335</v>
      </c>
      <c r="B21" s="40" t="s">
        <v>334</v>
      </c>
      <c r="C21" s="41"/>
      <c r="D21" s="39" t="s">
        <v>9</v>
      </c>
      <c r="E21" s="42">
        <v>0.34</v>
      </c>
      <c r="F21" s="42">
        <f>F23/F22*100</f>
        <v>0</v>
      </c>
      <c r="G21" s="42" t="e">
        <f>G23/G22*100</f>
        <v>#DIV/0!</v>
      </c>
      <c r="H21" s="3" t="s">
        <v>143</v>
      </c>
    </row>
    <row r="22" spans="1:8" ht="60" x14ac:dyDescent="0.25">
      <c r="A22" s="15"/>
      <c r="B22" s="15" t="s">
        <v>336</v>
      </c>
      <c r="C22" s="6" t="s">
        <v>337</v>
      </c>
      <c r="D22" s="6" t="s">
        <v>1076</v>
      </c>
      <c r="E22" s="10"/>
      <c r="F22" s="10">
        <v>4466</v>
      </c>
      <c r="G22" s="10"/>
    </row>
    <row r="23" spans="1:8" ht="60" x14ac:dyDescent="0.25">
      <c r="A23" s="7"/>
      <c r="B23" s="15" t="s">
        <v>338</v>
      </c>
      <c r="C23" s="6" t="s">
        <v>339</v>
      </c>
      <c r="D23" s="6" t="s">
        <v>1076</v>
      </c>
      <c r="E23" s="10"/>
      <c r="F23" s="10">
        <v>0</v>
      </c>
      <c r="G23" s="10"/>
    </row>
    <row r="24" spans="1:8" ht="120" x14ac:dyDescent="0.25">
      <c r="A24" s="39" t="s">
        <v>340</v>
      </c>
      <c r="B24" s="40" t="s">
        <v>341</v>
      </c>
      <c r="C24" s="39"/>
      <c r="D24" s="39"/>
      <c r="E24" s="47"/>
      <c r="F24" s="47"/>
      <c r="G24" s="47"/>
      <c r="H24" s="3" t="s">
        <v>24</v>
      </c>
    </row>
    <row r="25" spans="1:8" x14ac:dyDescent="0.25">
      <c r="A25" s="41"/>
      <c r="B25" s="40" t="s">
        <v>356</v>
      </c>
      <c r="C25" s="39"/>
      <c r="D25" s="39" t="s">
        <v>9</v>
      </c>
      <c r="E25" s="42">
        <v>90.93</v>
      </c>
      <c r="F25" s="42">
        <f>(F26+F27)/(F28+F29+F30+F31+F32+F33)*100</f>
        <v>93.69747899159664</v>
      </c>
      <c r="G25" s="42" t="e">
        <f>(G26+G27)/(G28+G29+G30+G31+G32+G33)*100</f>
        <v>#DIV/0!</v>
      </c>
    </row>
    <row r="26" spans="1:8" ht="45" customHeight="1" x14ac:dyDescent="0.25">
      <c r="A26" s="433"/>
      <c r="B26" s="433" t="s">
        <v>342</v>
      </c>
      <c r="C26" s="6" t="s">
        <v>343</v>
      </c>
      <c r="D26" s="6" t="s">
        <v>1076</v>
      </c>
      <c r="E26" s="10"/>
      <c r="F26" s="10">
        <v>5893</v>
      </c>
      <c r="G26" s="10"/>
      <c r="H26" s="19"/>
    </row>
    <row r="27" spans="1:8" ht="30" x14ac:dyDescent="0.25">
      <c r="A27" s="435"/>
      <c r="B27" s="435"/>
      <c r="C27" s="6" t="s">
        <v>344</v>
      </c>
      <c r="D27" s="6" t="s">
        <v>1076</v>
      </c>
      <c r="E27" s="10"/>
      <c r="F27" s="10">
        <v>351</v>
      </c>
      <c r="G27" s="10"/>
    </row>
    <row r="28" spans="1:8" ht="45" customHeight="1" x14ac:dyDescent="0.25">
      <c r="A28" s="433"/>
      <c r="B28" s="433" t="s">
        <v>345</v>
      </c>
      <c r="C28" s="6" t="s">
        <v>324</v>
      </c>
      <c r="D28" s="6" t="s">
        <v>1076</v>
      </c>
      <c r="E28" s="10"/>
      <c r="F28" s="10">
        <v>6084</v>
      </c>
      <c r="G28" s="10"/>
      <c r="H28" s="19"/>
    </row>
    <row r="29" spans="1:8" ht="30" x14ac:dyDescent="0.25">
      <c r="A29" s="434"/>
      <c r="B29" s="434"/>
      <c r="C29" s="6" t="s">
        <v>325</v>
      </c>
      <c r="D29" s="6" t="s">
        <v>1076</v>
      </c>
      <c r="E29" s="10"/>
      <c r="F29" s="10">
        <v>580</v>
      </c>
      <c r="G29" s="10"/>
    </row>
    <row r="30" spans="1:8" ht="45" x14ac:dyDescent="0.25">
      <c r="A30" s="434"/>
      <c r="B30" s="434"/>
      <c r="C30" s="6" t="s">
        <v>346</v>
      </c>
      <c r="D30" s="6" t="s">
        <v>1076</v>
      </c>
      <c r="E30" s="10"/>
      <c r="F30" s="10">
        <v>0</v>
      </c>
      <c r="G30" s="10"/>
    </row>
    <row r="31" spans="1:8" ht="30" x14ac:dyDescent="0.25">
      <c r="A31" s="434"/>
      <c r="B31" s="434"/>
      <c r="C31" s="6" t="s">
        <v>347</v>
      </c>
      <c r="D31" s="6" t="s">
        <v>1076</v>
      </c>
      <c r="E31" s="10"/>
      <c r="F31" s="10">
        <v>0</v>
      </c>
      <c r="G31" s="10"/>
    </row>
    <row r="32" spans="1:8" ht="45" x14ac:dyDescent="0.25">
      <c r="A32" s="434"/>
      <c r="B32" s="434"/>
      <c r="C32" s="6" t="s">
        <v>348</v>
      </c>
      <c r="D32" s="6" t="s">
        <v>1076</v>
      </c>
      <c r="E32" s="10"/>
      <c r="F32" s="10">
        <v>0</v>
      </c>
      <c r="G32" s="10"/>
    </row>
    <row r="33" spans="1:8" ht="30" x14ac:dyDescent="0.25">
      <c r="A33" s="435"/>
      <c r="B33" s="435"/>
      <c r="C33" s="6" t="s">
        <v>349</v>
      </c>
      <c r="D33" s="6" t="s">
        <v>1076</v>
      </c>
      <c r="E33" s="10"/>
      <c r="F33" s="10">
        <v>0</v>
      </c>
      <c r="G33" s="10"/>
    </row>
    <row r="34" spans="1:8" x14ac:dyDescent="0.25">
      <c r="A34" s="41"/>
      <c r="B34" s="40" t="s">
        <v>350</v>
      </c>
      <c r="C34" s="39"/>
      <c r="D34" s="39" t="s">
        <v>9</v>
      </c>
      <c r="E34" s="42">
        <v>3.1</v>
      </c>
      <c r="F34" s="42">
        <f>(F35+F36)/(F37+F38+F39+F40+F41+F42)*100</f>
        <v>3.8565426170468187</v>
      </c>
      <c r="G34" s="42" t="e">
        <f>(G35+G36)/(G37+G38+G39+G40+G41+G42)*100</f>
        <v>#DIV/0!</v>
      </c>
    </row>
    <row r="35" spans="1:8" ht="45" x14ac:dyDescent="0.25">
      <c r="A35" s="433"/>
      <c r="B35" s="433" t="s">
        <v>351</v>
      </c>
      <c r="C35" s="6" t="s">
        <v>352</v>
      </c>
      <c r="D35" s="6" t="s">
        <v>1076</v>
      </c>
      <c r="E35" s="10"/>
      <c r="F35" s="10">
        <v>104</v>
      </c>
      <c r="G35" s="10"/>
    </row>
    <row r="36" spans="1:8" ht="45" customHeight="1" x14ac:dyDescent="0.25">
      <c r="A36" s="435"/>
      <c r="B36" s="435"/>
      <c r="C36" s="6" t="s">
        <v>353</v>
      </c>
      <c r="D36" s="6" t="s">
        <v>1076</v>
      </c>
      <c r="E36" s="10"/>
      <c r="F36" s="10">
        <v>153</v>
      </c>
      <c r="G36" s="10"/>
    </row>
    <row r="37" spans="1:8" ht="45" x14ac:dyDescent="0.25">
      <c r="A37" s="433"/>
      <c r="B37" s="433" t="s">
        <v>345</v>
      </c>
      <c r="C37" s="6" t="s">
        <v>324</v>
      </c>
      <c r="D37" s="6" t="s">
        <v>1076</v>
      </c>
      <c r="E37" s="10"/>
      <c r="F37" s="10">
        <v>6084</v>
      </c>
      <c r="G37" s="10"/>
    </row>
    <row r="38" spans="1:8" ht="45" customHeight="1" x14ac:dyDescent="0.25">
      <c r="A38" s="434"/>
      <c r="B38" s="434"/>
      <c r="C38" s="6" t="s">
        <v>325</v>
      </c>
      <c r="D38" s="6" t="s">
        <v>1076</v>
      </c>
      <c r="E38" s="10"/>
      <c r="F38" s="10">
        <v>580</v>
      </c>
      <c r="G38" s="10"/>
    </row>
    <row r="39" spans="1:8" ht="45" x14ac:dyDescent="0.25">
      <c r="A39" s="434"/>
      <c r="B39" s="434"/>
      <c r="C39" s="6" t="s">
        <v>346</v>
      </c>
      <c r="D39" s="6" t="s">
        <v>1076</v>
      </c>
      <c r="E39" s="10"/>
      <c r="F39" s="10">
        <v>0</v>
      </c>
      <c r="G39" s="10"/>
    </row>
    <row r="40" spans="1:8" ht="30" x14ac:dyDescent="0.25">
      <c r="A40" s="434"/>
      <c r="B40" s="434"/>
      <c r="C40" s="6" t="s">
        <v>347</v>
      </c>
      <c r="D40" s="6" t="s">
        <v>1076</v>
      </c>
      <c r="E40" s="10"/>
      <c r="F40" s="10">
        <v>0</v>
      </c>
      <c r="G40" s="10"/>
    </row>
    <row r="41" spans="1:8" ht="45" x14ac:dyDescent="0.25">
      <c r="A41" s="434"/>
      <c r="B41" s="434"/>
      <c r="C41" s="6" t="s">
        <v>348</v>
      </c>
      <c r="D41" s="6" t="s">
        <v>1076</v>
      </c>
      <c r="E41" s="10"/>
      <c r="F41" s="10">
        <v>0</v>
      </c>
      <c r="G41" s="10"/>
    </row>
    <row r="42" spans="1:8" ht="30" x14ac:dyDescent="0.25">
      <c r="A42" s="435"/>
      <c r="B42" s="435"/>
      <c r="C42" s="6" t="s">
        <v>349</v>
      </c>
      <c r="D42" s="6" t="s">
        <v>1076</v>
      </c>
      <c r="E42" s="10"/>
      <c r="F42" s="10">
        <v>0</v>
      </c>
      <c r="G42" s="10"/>
    </row>
    <row r="43" spans="1:8" ht="120" x14ac:dyDescent="0.25">
      <c r="A43" s="39" t="s">
        <v>355</v>
      </c>
      <c r="B43" s="40" t="s">
        <v>354</v>
      </c>
      <c r="C43" s="39"/>
      <c r="D43" s="39"/>
      <c r="E43" s="46"/>
      <c r="F43" s="46"/>
      <c r="G43" s="46"/>
      <c r="H43" s="3" t="s">
        <v>286</v>
      </c>
    </row>
    <row r="44" spans="1:8" x14ac:dyDescent="0.25">
      <c r="A44" s="41"/>
      <c r="B44" s="40" t="s">
        <v>356</v>
      </c>
      <c r="C44" s="39"/>
      <c r="D44" s="39"/>
      <c r="E44" s="47"/>
      <c r="F44" s="47"/>
      <c r="G44" s="47"/>
    </row>
    <row r="45" spans="1:8" x14ac:dyDescent="0.25">
      <c r="A45" s="41"/>
      <c r="B45" s="43" t="s">
        <v>1333</v>
      </c>
      <c r="C45" s="39"/>
      <c r="D45" s="39" t="s">
        <v>9</v>
      </c>
      <c r="E45" s="42">
        <v>63.46</v>
      </c>
      <c r="F45" s="42">
        <f>F48/F51*100</f>
        <v>64.047929409405384</v>
      </c>
      <c r="G45" s="42" t="e">
        <f>G48/G51*100</f>
        <v>#DIV/0!</v>
      </c>
    </row>
    <row r="46" spans="1:8" x14ac:dyDescent="0.25">
      <c r="A46" s="41"/>
      <c r="B46" s="43" t="s">
        <v>1335</v>
      </c>
      <c r="C46" s="39"/>
      <c r="D46" s="39" t="s">
        <v>9</v>
      </c>
      <c r="E46" s="42">
        <v>72.22</v>
      </c>
      <c r="F46" s="42">
        <f>F49/F52*100</f>
        <v>66.417910447761201</v>
      </c>
      <c r="G46" s="42" t="e">
        <f>G49/G52*100</f>
        <v>#DIV/0!</v>
      </c>
    </row>
    <row r="47" spans="1:8" ht="45" x14ac:dyDescent="0.25">
      <c r="A47" s="7"/>
      <c r="B47" s="15" t="s">
        <v>357</v>
      </c>
      <c r="C47" s="6" t="s">
        <v>1507</v>
      </c>
      <c r="D47" s="6" t="s">
        <v>1076</v>
      </c>
      <c r="E47" s="10"/>
      <c r="F47" s="10"/>
      <c r="G47" s="10"/>
    </row>
    <row r="48" spans="1:8" x14ac:dyDescent="0.25">
      <c r="A48" s="7"/>
      <c r="B48" s="15" t="s">
        <v>1333</v>
      </c>
      <c r="C48" s="6"/>
      <c r="D48" s="6"/>
      <c r="E48" s="10"/>
      <c r="F48" s="10">
        <v>12775</v>
      </c>
      <c r="G48" s="10"/>
    </row>
    <row r="49" spans="1:8" x14ac:dyDescent="0.25">
      <c r="A49" s="7"/>
      <c r="B49" s="15" t="s">
        <v>1335</v>
      </c>
      <c r="C49" s="6"/>
      <c r="D49" s="6"/>
      <c r="E49" s="10"/>
      <c r="F49" s="10">
        <f>16+73</f>
        <v>89</v>
      </c>
      <c r="G49" s="10"/>
    </row>
    <row r="50" spans="1:8" ht="45" x14ac:dyDescent="0.25">
      <c r="A50" s="7"/>
      <c r="B50" s="15" t="s">
        <v>329</v>
      </c>
      <c r="C50" s="6" t="s">
        <v>538</v>
      </c>
      <c r="D50" s="6" t="s">
        <v>1076</v>
      </c>
      <c r="E50" s="10"/>
      <c r="F50" s="10"/>
      <c r="G50" s="10"/>
    </row>
    <row r="51" spans="1:8" x14ac:dyDescent="0.25">
      <c r="A51" s="7"/>
      <c r="B51" s="15" t="s">
        <v>1333</v>
      </c>
      <c r="C51" s="6"/>
      <c r="D51" s="6"/>
      <c r="E51" s="10"/>
      <c r="F51" s="10">
        <v>19946</v>
      </c>
      <c r="G51" s="10"/>
    </row>
    <row r="52" spans="1:8" x14ac:dyDescent="0.25">
      <c r="A52" s="7"/>
      <c r="B52" s="15" t="s">
        <v>1335</v>
      </c>
      <c r="C52" s="6"/>
      <c r="D52" s="6"/>
      <c r="E52" s="10"/>
      <c r="F52" s="10">
        <v>134</v>
      </c>
      <c r="G52" s="10"/>
    </row>
    <row r="53" spans="1:8" x14ac:dyDescent="0.25">
      <c r="A53" s="41"/>
      <c r="B53" s="40" t="s">
        <v>350</v>
      </c>
      <c r="C53" s="39"/>
      <c r="D53" s="39"/>
      <c r="E53" s="47"/>
      <c r="F53" s="47"/>
      <c r="G53" s="47"/>
    </row>
    <row r="54" spans="1:8" x14ac:dyDescent="0.25">
      <c r="A54" s="41"/>
      <c r="B54" s="43" t="s">
        <v>1333</v>
      </c>
      <c r="C54" s="39"/>
      <c r="D54" s="39" t="s">
        <v>9</v>
      </c>
      <c r="E54" s="42">
        <v>36.54</v>
      </c>
      <c r="F54" s="42">
        <f>F57/F60*100</f>
        <v>35.952070590594602</v>
      </c>
      <c r="G54" s="42" t="e">
        <f>G57/G60*100</f>
        <v>#DIV/0!</v>
      </c>
    </row>
    <row r="55" spans="1:8" x14ac:dyDescent="0.25">
      <c r="A55" s="41"/>
      <c r="B55" s="43" t="s">
        <v>1335</v>
      </c>
      <c r="C55" s="39"/>
      <c r="D55" s="39" t="s">
        <v>9</v>
      </c>
      <c r="E55" s="42">
        <v>27.78</v>
      </c>
      <c r="F55" s="42">
        <f>F58/F61*100</f>
        <v>33.582089552238806</v>
      </c>
      <c r="G55" s="42" t="e">
        <f>G58/G61*100</f>
        <v>#DIV/0!</v>
      </c>
    </row>
    <row r="56" spans="1:8" ht="45" x14ac:dyDescent="0.25">
      <c r="A56" s="7"/>
      <c r="B56" s="15" t="s">
        <v>358</v>
      </c>
      <c r="C56" s="6" t="s">
        <v>1508</v>
      </c>
      <c r="D56" s="6" t="s">
        <v>1076</v>
      </c>
      <c r="E56" s="10"/>
      <c r="F56" s="10"/>
      <c r="G56" s="10"/>
    </row>
    <row r="57" spans="1:8" x14ac:dyDescent="0.25">
      <c r="A57" s="7"/>
      <c r="B57" s="15" t="s">
        <v>1333</v>
      </c>
      <c r="C57" s="6"/>
      <c r="D57" s="6"/>
      <c r="E57" s="10"/>
      <c r="F57" s="10">
        <v>7171</v>
      </c>
      <c r="G57" s="10"/>
    </row>
    <row r="58" spans="1:8" x14ac:dyDescent="0.25">
      <c r="A58" s="7"/>
      <c r="B58" s="15" t="s">
        <v>1335</v>
      </c>
      <c r="C58" s="6"/>
      <c r="D58" s="6"/>
      <c r="E58" s="10"/>
      <c r="F58" s="10">
        <v>45</v>
      </c>
      <c r="G58" s="10"/>
    </row>
    <row r="59" spans="1:8" ht="45" x14ac:dyDescent="0.25">
      <c r="A59" s="7"/>
      <c r="B59" s="15" t="s">
        <v>329</v>
      </c>
      <c r="C59" s="6" t="s">
        <v>538</v>
      </c>
      <c r="D59" s="6" t="s">
        <v>1076</v>
      </c>
      <c r="E59" s="10"/>
      <c r="F59" s="10"/>
      <c r="G59" s="10"/>
    </row>
    <row r="60" spans="1:8" x14ac:dyDescent="0.25">
      <c r="A60" s="7"/>
      <c r="B60" s="15" t="s">
        <v>1333</v>
      </c>
      <c r="C60" s="6"/>
      <c r="D60" s="6"/>
      <c r="E60" s="10"/>
      <c r="F60" s="10">
        <v>19946</v>
      </c>
      <c r="G60" s="10"/>
    </row>
    <row r="61" spans="1:8" x14ac:dyDescent="0.25">
      <c r="A61" s="7"/>
      <c r="B61" s="15" t="s">
        <v>1335</v>
      </c>
      <c r="C61" s="6"/>
      <c r="D61" s="6"/>
      <c r="E61" s="10"/>
      <c r="F61" s="10">
        <v>134</v>
      </c>
      <c r="G61" s="10"/>
    </row>
    <row r="62" spans="1:8" ht="60" x14ac:dyDescent="0.25">
      <c r="A62" s="39" t="s">
        <v>360</v>
      </c>
      <c r="B62" s="40" t="s">
        <v>361</v>
      </c>
      <c r="C62" s="39"/>
      <c r="D62" s="39" t="s">
        <v>9</v>
      </c>
      <c r="E62" s="42">
        <v>97.09</v>
      </c>
      <c r="F62" s="42">
        <f>(F63+F64)/(F65+F66+F67+F68)*100</f>
        <v>97.674069627851139</v>
      </c>
      <c r="G62" s="42" t="e">
        <f>(G63+G64)/(G65+G66+G67+G68)*100</f>
        <v>#DIV/0!</v>
      </c>
      <c r="H62" s="3" t="s">
        <v>24</v>
      </c>
    </row>
    <row r="63" spans="1:8" ht="30" x14ac:dyDescent="0.25">
      <c r="A63" s="433"/>
      <c r="B63" s="433" t="s">
        <v>362</v>
      </c>
      <c r="C63" s="6" t="s">
        <v>363</v>
      </c>
      <c r="D63" s="6" t="s">
        <v>1076</v>
      </c>
      <c r="E63" s="10"/>
      <c r="F63" s="10">
        <v>6084</v>
      </c>
      <c r="G63" s="10"/>
      <c r="H63" s="19"/>
    </row>
    <row r="64" spans="1:8" ht="45" x14ac:dyDescent="0.25">
      <c r="A64" s="435"/>
      <c r="B64" s="435"/>
      <c r="C64" s="6" t="s">
        <v>364</v>
      </c>
      <c r="D64" s="6" t="s">
        <v>1076</v>
      </c>
      <c r="E64" s="10"/>
      <c r="F64" s="10">
        <v>425</v>
      </c>
      <c r="G64" s="10"/>
    </row>
    <row r="65" spans="1:8" ht="30" customHeight="1" x14ac:dyDescent="0.25">
      <c r="A65" s="436"/>
      <c r="B65" s="433" t="s">
        <v>365</v>
      </c>
      <c r="C65" s="6" t="s">
        <v>366</v>
      </c>
      <c r="D65" s="6" t="s">
        <v>1076</v>
      </c>
      <c r="E65" s="10"/>
      <c r="F65" s="10">
        <v>6084</v>
      </c>
      <c r="G65" s="10"/>
      <c r="H65" s="19"/>
    </row>
    <row r="66" spans="1:8" ht="45" x14ac:dyDescent="0.25">
      <c r="A66" s="437"/>
      <c r="B66" s="434"/>
      <c r="C66" s="6" t="s">
        <v>367</v>
      </c>
      <c r="D66" s="6" t="s">
        <v>1076</v>
      </c>
      <c r="E66" s="10"/>
      <c r="F66" s="10">
        <v>580</v>
      </c>
      <c r="G66" s="10"/>
    </row>
    <row r="67" spans="1:8" ht="45" x14ac:dyDescent="0.25">
      <c r="A67" s="437"/>
      <c r="B67" s="434"/>
      <c r="C67" s="6" t="s">
        <v>368</v>
      </c>
      <c r="D67" s="6" t="s">
        <v>1076</v>
      </c>
      <c r="E67" s="10"/>
      <c r="F67" s="10">
        <v>0</v>
      </c>
      <c r="G67" s="10"/>
    </row>
    <row r="68" spans="1:8" ht="45" x14ac:dyDescent="0.25">
      <c r="A68" s="438"/>
      <c r="B68" s="435"/>
      <c r="C68" s="6" t="s">
        <v>369</v>
      </c>
      <c r="D68" s="6" t="s">
        <v>1076</v>
      </c>
      <c r="E68" s="10"/>
      <c r="F68" s="10">
        <v>0</v>
      </c>
      <c r="G68" s="10"/>
    </row>
    <row r="69" spans="1:8" ht="120" x14ac:dyDescent="0.25">
      <c r="A69" s="51" t="s">
        <v>370</v>
      </c>
      <c r="B69" s="40" t="s">
        <v>371</v>
      </c>
      <c r="C69" s="39"/>
      <c r="D69" s="39"/>
      <c r="E69" s="46"/>
      <c r="F69" s="46"/>
      <c r="G69" s="46"/>
      <c r="H69" s="3" t="s">
        <v>286</v>
      </c>
    </row>
    <row r="70" spans="1:8" x14ac:dyDescent="0.25">
      <c r="A70" s="51"/>
      <c r="B70" s="40" t="s">
        <v>372</v>
      </c>
      <c r="C70" s="39"/>
      <c r="D70" s="39"/>
      <c r="E70" s="47"/>
      <c r="F70" s="47"/>
      <c r="G70" s="47"/>
    </row>
    <row r="71" spans="1:8" x14ac:dyDescent="0.25">
      <c r="A71" s="51"/>
      <c r="B71" s="43" t="s">
        <v>1333</v>
      </c>
      <c r="C71" s="39"/>
      <c r="D71" s="39" t="s">
        <v>9</v>
      </c>
      <c r="E71" s="42">
        <v>71.069999999999993</v>
      </c>
      <c r="F71" s="42">
        <f>F80/F89*100</f>
        <v>67.251579264012832</v>
      </c>
      <c r="G71" s="42" t="e">
        <f>G80/G89*100</f>
        <v>#DIV/0!</v>
      </c>
    </row>
    <row r="72" spans="1:8" x14ac:dyDescent="0.25">
      <c r="A72" s="51"/>
      <c r="B72" s="43" t="s">
        <v>1335</v>
      </c>
      <c r="C72" s="39"/>
      <c r="D72" s="39" t="s">
        <v>9</v>
      </c>
      <c r="E72" s="42">
        <v>69.44</v>
      </c>
      <c r="F72" s="42">
        <f>F81/F90*100</f>
        <v>58.208955223880601</v>
      </c>
      <c r="G72" s="42" t="e">
        <f>G81/G90*100</f>
        <v>#DIV/0!</v>
      </c>
    </row>
    <row r="73" spans="1:8" x14ac:dyDescent="0.25">
      <c r="A73" s="51"/>
      <c r="B73" s="40" t="s">
        <v>652</v>
      </c>
      <c r="C73" s="39"/>
      <c r="D73" s="39"/>
      <c r="E73" s="47"/>
      <c r="F73" s="47"/>
      <c r="G73" s="47"/>
    </row>
    <row r="74" spans="1:8" x14ac:dyDescent="0.25">
      <c r="A74" s="51"/>
      <c r="B74" s="43" t="s">
        <v>1333</v>
      </c>
      <c r="C74" s="39"/>
      <c r="D74" s="39" t="s">
        <v>9</v>
      </c>
      <c r="E74" s="42">
        <v>2.42</v>
      </c>
      <c r="F74" s="42">
        <f>F83/F89*100</f>
        <v>2.266118520004011</v>
      </c>
      <c r="G74" s="42" t="e">
        <f>G83/G89*100</f>
        <v>#DIV/0!</v>
      </c>
    </row>
    <row r="75" spans="1:8" x14ac:dyDescent="0.25">
      <c r="A75" s="51"/>
      <c r="B75" s="43" t="s">
        <v>1335</v>
      </c>
      <c r="C75" s="39"/>
      <c r="D75" s="39" t="s">
        <v>9</v>
      </c>
      <c r="E75" s="42">
        <v>0</v>
      </c>
      <c r="F75" s="42">
        <f>F84/F90*100</f>
        <v>0</v>
      </c>
      <c r="G75" s="42" t="e">
        <f>G84/G90*100</f>
        <v>#DIV/0!</v>
      </c>
    </row>
    <row r="76" spans="1:8" x14ac:dyDescent="0.25">
      <c r="A76" s="51"/>
      <c r="B76" s="40" t="s">
        <v>373</v>
      </c>
      <c r="C76" s="39"/>
      <c r="D76" s="39"/>
      <c r="E76" s="47"/>
      <c r="F76" s="47"/>
      <c r="G76" s="47"/>
    </row>
    <row r="77" spans="1:8" x14ac:dyDescent="0.25">
      <c r="A77" s="51"/>
      <c r="B77" s="43" t="s">
        <v>1333</v>
      </c>
      <c r="C77" s="39"/>
      <c r="D77" s="39" t="s">
        <v>9</v>
      </c>
      <c r="E77" s="42">
        <v>26.51</v>
      </c>
      <c r="F77" s="42">
        <f>F86/F89*100</f>
        <v>30.482302215983154</v>
      </c>
      <c r="G77" s="42" t="e">
        <f>G86/G89*100</f>
        <v>#DIV/0!</v>
      </c>
    </row>
    <row r="78" spans="1:8" x14ac:dyDescent="0.25">
      <c r="A78" s="51"/>
      <c r="B78" s="43" t="s">
        <v>1335</v>
      </c>
      <c r="C78" s="39"/>
      <c r="D78" s="39" t="s">
        <v>9</v>
      </c>
      <c r="E78" s="42">
        <v>30.56</v>
      </c>
      <c r="F78" s="42">
        <f>F87/F90*100</f>
        <v>41.791044776119399</v>
      </c>
      <c r="G78" s="42" t="e">
        <f>G87/G90*100</f>
        <v>#DIV/0!</v>
      </c>
    </row>
    <row r="79" spans="1:8" ht="45" x14ac:dyDescent="0.25">
      <c r="A79" s="27"/>
      <c r="B79" s="15" t="s">
        <v>374</v>
      </c>
      <c r="C79" s="6" t="s">
        <v>375</v>
      </c>
      <c r="D79" s="6" t="s">
        <v>1076</v>
      </c>
      <c r="E79" s="10"/>
      <c r="F79" s="10"/>
      <c r="G79" s="10"/>
    </row>
    <row r="80" spans="1:8" x14ac:dyDescent="0.25">
      <c r="A80" s="86"/>
      <c r="B80" s="15" t="s">
        <v>1333</v>
      </c>
      <c r="C80" s="6"/>
      <c r="D80" s="6"/>
      <c r="E80" s="10"/>
      <c r="F80" s="10">
        <v>13414</v>
      </c>
      <c r="G80" s="10"/>
    </row>
    <row r="81" spans="1:8" x14ac:dyDescent="0.25">
      <c r="A81" s="86"/>
      <c r="B81" s="15" t="s">
        <v>1335</v>
      </c>
      <c r="C81" s="6"/>
      <c r="D81" s="6"/>
      <c r="E81" s="10"/>
      <c r="F81" s="10">
        <v>78</v>
      </c>
      <c r="G81" s="10"/>
    </row>
    <row r="82" spans="1:8" ht="45" x14ac:dyDescent="0.25">
      <c r="A82" s="27"/>
      <c r="B82" s="15" t="s">
        <v>376</v>
      </c>
      <c r="C82" s="6" t="s">
        <v>377</v>
      </c>
      <c r="D82" s="6" t="s">
        <v>1076</v>
      </c>
      <c r="E82" s="10"/>
      <c r="F82" s="10"/>
      <c r="G82" s="10"/>
    </row>
    <row r="83" spans="1:8" x14ac:dyDescent="0.25">
      <c r="A83" s="85"/>
      <c r="B83" s="15" t="s">
        <v>1333</v>
      </c>
      <c r="C83" s="6"/>
      <c r="D83" s="6"/>
      <c r="E83" s="10"/>
      <c r="F83" s="10">
        <v>452</v>
      </c>
      <c r="G83" s="10"/>
    </row>
    <row r="84" spans="1:8" x14ac:dyDescent="0.25">
      <c r="A84" s="85"/>
      <c r="B84" s="15" t="s">
        <v>1335</v>
      </c>
      <c r="C84" s="6"/>
      <c r="D84" s="6"/>
      <c r="E84" s="10"/>
      <c r="F84" s="10">
        <v>0</v>
      </c>
      <c r="G84" s="10"/>
    </row>
    <row r="85" spans="1:8" ht="45" customHeight="1" x14ac:dyDescent="0.25">
      <c r="A85" s="81"/>
      <c r="B85" s="81" t="s">
        <v>378</v>
      </c>
      <c r="C85" s="6" t="s">
        <v>379</v>
      </c>
      <c r="D85" s="6" t="s">
        <v>1076</v>
      </c>
      <c r="E85" s="10"/>
      <c r="F85" s="10"/>
      <c r="G85" s="10"/>
    </row>
    <row r="86" spans="1:8" x14ac:dyDescent="0.25">
      <c r="A86" s="81"/>
      <c r="B86" s="15" t="s">
        <v>1333</v>
      </c>
      <c r="C86" s="6"/>
      <c r="D86" s="6"/>
      <c r="E86" s="10"/>
      <c r="F86" s="10">
        <v>6080</v>
      </c>
      <c r="G86" s="10"/>
    </row>
    <row r="87" spans="1:8" x14ac:dyDescent="0.25">
      <c r="A87" s="81"/>
      <c r="B87" s="15" t="s">
        <v>1335</v>
      </c>
      <c r="C87" s="6"/>
      <c r="D87" s="6"/>
      <c r="E87" s="10"/>
      <c r="F87" s="10">
        <v>56</v>
      </c>
      <c r="G87" s="10"/>
    </row>
    <row r="88" spans="1:8" ht="45" x14ac:dyDescent="0.25">
      <c r="A88" s="7"/>
      <c r="B88" s="15" t="s">
        <v>329</v>
      </c>
      <c r="C88" s="6" t="s">
        <v>538</v>
      </c>
      <c r="D88" s="6" t="s">
        <v>1076</v>
      </c>
      <c r="E88" s="10"/>
      <c r="F88" s="10"/>
      <c r="G88" s="10"/>
    </row>
    <row r="89" spans="1:8" x14ac:dyDescent="0.25">
      <c r="A89" s="30"/>
      <c r="B89" s="15" t="s">
        <v>1333</v>
      </c>
      <c r="C89" s="6"/>
      <c r="D89" s="6"/>
      <c r="E89" s="10"/>
      <c r="F89" s="10">
        <v>19946</v>
      </c>
      <c r="G89" s="10"/>
    </row>
    <row r="90" spans="1:8" x14ac:dyDescent="0.25">
      <c r="A90" s="30"/>
      <c r="B90" s="15" t="s">
        <v>1335</v>
      </c>
      <c r="C90" s="6"/>
      <c r="D90" s="6"/>
      <c r="E90" s="10"/>
      <c r="F90" s="10">
        <v>134</v>
      </c>
      <c r="G90" s="10"/>
    </row>
    <row r="91" spans="1:8" ht="60" x14ac:dyDescent="0.25">
      <c r="A91" s="51" t="s">
        <v>382</v>
      </c>
      <c r="B91" s="40" t="s">
        <v>381</v>
      </c>
      <c r="C91" s="39"/>
      <c r="D91" s="39"/>
      <c r="E91" s="47"/>
      <c r="F91" s="47"/>
      <c r="G91" s="47"/>
      <c r="H91" s="3" t="s">
        <v>286</v>
      </c>
    </row>
    <row r="92" spans="1:8" x14ac:dyDescent="0.25">
      <c r="A92" s="51"/>
      <c r="B92" s="43" t="s">
        <v>1333</v>
      </c>
      <c r="C92" s="39"/>
      <c r="D92" s="39" t="s">
        <v>9</v>
      </c>
      <c r="E92" s="42">
        <v>34.83</v>
      </c>
      <c r="F92" s="42">
        <f>F95/F98*100</f>
        <v>33.370099268023665</v>
      </c>
      <c r="G92" s="42" t="e">
        <f>G95/G98*100</f>
        <v>#DIV/0!</v>
      </c>
      <c r="H92" s="3"/>
    </row>
    <row r="93" spans="1:8" x14ac:dyDescent="0.25">
      <c r="A93" s="51"/>
      <c r="B93" s="43" t="s">
        <v>1335</v>
      </c>
      <c r="C93" s="39"/>
      <c r="D93" s="39" t="s">
        <v>9</v>
      </c>
      <c r="E93" s="42">
        <v>100</v>
      </c>
      <c r="F93" s="42">
        <f>F96/F99*100</f>
        <v>100</v>
      </c>
      <c r="G93" s="42" t="e">
        <f>G96/G99*100</f>
        <v>#DIV/0!</v>
      </c>
      <c r="H93" s="3"/>
    </row>
    <row r="94" spans="1:8" ht="45" x14ac:dyDescent="0.25">
      <c r="A94" s="7"/>
      <c r="B94" s="15" t="s">
        <v>383</v>
      </c>
      <c r="C94" s="6" t="s">
        <v>1509</v>
      </c>
      <c r="D94" s="6" t="s">
        <v>1076</v>
      </c>
      <c r="E94" s="10"/>
      <c r="F94" s="10"/>
      <c r="G94" s="10"/>
    </row>
    <row r="95" spans="1:8" x14ac:dyDescent="0.25">
      <c r="A95" s="7"/>
      <c r="B95" s="15" t="s">
        <v>1333</v>
      </c>
      <c r="C95" s="6"/>
      <c r="D95" s="6"/>
      <c r="E95" s="10"/>
      <c r="F95" s="10">
        <v>6656</v>
      </c>
      <c r="G95" s="10"/>
    </row>
    <row r="96" spans="1:8" x14ac:dyDescent="0.25">
      <c r="A96" s="7"/>
      <c r="B96" s="15" t="s">
        <v>1335</v>
      </c>
      <c r="C96" s="6"/>
      <c r="D96" s="6"/>
      <c r="E96" s="10"/>
      <c r="F96" s="10">
        <v>134</v>
      </c>
      <c r="G96" s="10"/>
    </row>
    <row r="97" spans="1:8" ht="45" x14ac:dyDescent="0.25">
      <c r="A97" s="7"/>
      <c r="B97" s="15" t="s">
        <v>329</v>
      </c>
      <c r="C97" s="6" t="s">
        <v>1510</v>
      </c>
      <c r="D97" s="6" t="s">
        <v>1076</v>
      </c>
      <c r="E97" s="10"/>
      <c r="F97" s="10"/>
      <c r="G97" s="10"/>
    </row>
    <row r="98" spans="1:8" x14ac:dyDescent="0.25">
      <c r="A98" s="7"/>
      <c r="B98" s="15" t="s">
        <v>1333</v>
      </c>
      <c r="C98" s="6"/>
      <c r="D98" s="6"/>
      <c r="E98" s="10"/>
      <c r="F98" s="10">
        <v>19946</v>
      </c>
      <c r="G98" s="10"/>
    </row>
    <row r="99" spans="1:8" x14ac:dyDescent="0.25">
      <c r="A99" s="7"/>
      <c r="B99" s="15" t="s">
        <v>1335</v>
      </c>
      <c r="C99" s="6"/>
      <c r="D99" s="6"/>
      <c r="E99" s="10"/>
      <c r="F99" s="10">
        <v>134</v>
      </c>
      <c r="G99" s="10"/>
    </row>
    <row r="100" spans="1:8" ht="60" x14ac:dyDescent="0.25">
      <c r="A100" s="44" t="s">
        <v>384</v>
      </c>
      <c r="B100" s="45" t="s">
        <v>385</v>
      </c>
      <c r="C100" s="41"/>
      <c r="D100" s="41"/>
      <c r="E100" s="41"/>
      <c r="F100" s="41"/>
      <c r="G100" s="41"/>
    </row>
    <row r="101" spans="1:8" ht="90" x14ac:dyDescent="0.25">
      <c r="A101" s="39" t="s">
        <v>396</v>
      </c>
      <c r="B101" s="40" t="s">
        <v>386</v>
      </c>
      <c r="C101" s="41"/>
      <c r="D101" s="39"/>
      <c r="E101" s="47"/>
      <c r="F101" s="47"/>
      <c r="G101" s="47"/>
      <c r="H101" s="3" t="s">
        <v>24</v>
      </c>
    </row>
    <row r="102" spans="1:8" x14ac:dyDescent="0.25">
      <c r="A102" s="39"/>
      <c r="B102" s="40" t="s">
        <v>186</v>
      </c>
      <c r="C102" s="41"/>
      <c r="D102" s="39" t="s">
        <v>9</v>
      </c>
      <c r="E102" s="42">
        <v>86.67</v>
      </c>
      <c r="F102" s="42" t="e">
        <f>F104/F106*100</f>
        <v>#DIV/0!</v>
      </c>
      <c r="G102" s="42" t="e">
        <f>G104/G106*100</f>
        <v>#DIV/0!</v>
      </c>
      <c r="H102" s="3"/>
    </row>
    <row r="103" spans="1:8" x14ac:dyDescent="0.25">
      <c r="A103" s="39"/>
      <c r="B103" s="40" t="s">
        <v>387</v>
      </c>
      <c r="C103" s="41"/>
      <c r="D103" s="39" t="s">
        <v>9</v>
      </c>
      <c r="E103" s="42">
        <v>100</v>
      </c>
      <c r="F103" s="42" t="e">
        <f>F105/F107*100</f>
        <v>#DIV/0!</v>
      </c>
      <c r="G103" s="42" t="e">
        <f>G105/G107*100</f>
        <v>#DIV/0!</v>
      </c>
      <c r="H103" s="3"/>
    </row>
    <row r="104" spans="1:8" ht="90" x14ac:dyDescent="0.25">
      <c r="A104" s="7"/>
      <c r="B104" s="15" t="s">
        <v>388</v>
      </c>
      <c r="C104" s="6" t="s">
        <v>389</v>
      </c>
      <c r="D104" s="6" t="s">
        <v>1076</v>
      </c>
      <c r="E104" s="10"/>
      <c r="F104" s="10">
        <v>0</v>
      </c>
      <c r="G104" s="10"/>
      <c r="H104" s="3"/>
    </row>
    <row r="105" spans="1:8" ht="90" x14ac:dyDescent="0.25">
      <c r="A105" s="7"/>
      <c r="B105" s="15" t="s">
        <v>390</v>
      </c>
      <c r="C105" s="6" t="s">
        <v>391</v>
      </c>
      <c r="D105" s="6" t="s">
        <v>1076</v>
      </c>
      <c r="E105" s="10"/>
      <c r="F105" s="10">
        <v>0</v>
      </c>
      <c r="G105" s="10"/>
    </row>
    <row r="106" spans="1:8" ht="90" x14ac:dyDescent="0.25">
      <c r="A106" s="7"/>
      <c r="B106" s="15" t="s">
        <v>392</v>
      </c>
      <c r="C106" s="6" t="s">
        <v>393</v>
      </c>
      <c r="D106" s="6" t="s">
        <v>1076</v>
      </c>
      <c r="E106" s="10"/>
      <c r="F106" s="10">
        <v>0</v>
      </c>
      <c r="G106" s="10"/>
    </row>
    <row r="107" spans="1:8" ht="75" x14ac:dyDescent="0.25">
      <c r="A107" s="7"/>
      <c r="B107" s="15" t="s">
        <v>394</v>
      </c>
      <c r="C107" s="6" t="s">
        <v>395</v>
      </c>
      <c r="D107" s="6" t="s">
        <v>1076</v>
      </c>
      <c r="E107" s="10"/>
      <c r="F107" s="10">
        <v>0</v>
      </c>
      <c r="G107" s="10"/>
    </row>
    <row r="108" spans="1:8" ht="90" x14ac:dyDescent="0.25">
      <c r="A108" s="39" t="s">
        <v>397</v>
      </c>
      <c r="B108" s="40" t="s">
        <v>398</v>
      </c>
      <c r="C108" s="41"/>
      <c r="D108" s="39"/>
      <c r="E108" s="47"/>
      <c r="F108" s="47"/>
      <c r="G108" s="47"/>
      <c r="H108" s="3" t="s">
        <v>286</v>
      </c>
    </row>
    <row r="109" spans="1:8" x14ac:dyDescent="0.25">
      <c r="A109" s="50"/>
      <c r="B109" s="40" t="s">
        <v>186</v>
      </c>
      <c r="C109" s="41"/>
      <c r="D109" s="39"/>
      <c r="E109" s="47"/>
      <c r="F109" s="47"/>
      <c r="G109" s="47"/>
      <c r="H109" s="3"/>
    </row>
    <row r="110" spans="1:8" x14ac:dyDescent="0.25">
      <c r="A110" s="50"/>
      <c r="B110" s="43" t="s">
        <v>1333</v>
      </c>
      <c r="C110" s="39"/>
      <c r="D110" s="39" t="s">
        <v>9</v>
      </c>
      <c r="E110" s="42">
        <v>87.8</v>
      </c>
      <c r="F110" s="42">
        <v>90.14</v>
      </c>
      <c r="G110" s="42" t="e">
        <f>G116/G119*100</f>
        <v>#DIV/0!</v>
      </c>
      <c r="H110" s="3"/>
    </row>
    <row r="111" spans="1:8" x14ac:dyDescent="0.25">
      <c r="A111" s="50"/>
      <c r="B111" s="43" t="s">
        <v>1335</v>
      </c>
      <c r="C111" s="39"/>
      <c r="D111" s="39" t="s">
        <v>9</v>
      </c>
      <c r="E111" s="42">
        <v>100</v>
      </c>
      <c r="F111" s="42" t="e">
        <f>F117/F120*100</f>
        <v>#DIV/0!</v>
      </c>
      <c r="G111" s="42" t="e">
        <f>G117/G120*100</f>
        <v>#DIV/0!</v>
      </c>
      <c r="H111" s="3"/>
    </row>
    <row r="112" spans="1:8" x14ac:dyDescent="0.25">
      <c r="A112" s="50"/>
      <c r="B112" s="40" t="s">
        <v>387</v>
      </c>
      <c r="C112" s="41"/>
      <c r="D112" s="39"/>
      <c r="E112" s="47"/>
      <c r="F112" s="47"/>
      <c r="G112" s="47"/>
      <c r="H112" s="3"/>
    </row>
    <row r="113" spans="1:8" x14ac:dyDescent="0.25">
      <c r="A113" s="50"/>
      <c r="B113" s="43" t="s">
        <v>1333</v>
      </c>
      <c r="C113" s="41"/>
      <c r="D113" s="39" t="s">
        <v>9</v>
      </c>
      <c r="E113" s="42">
        <v>97.51</v>
      </c>
      <c r="F113" s="42">
        <v>97.55</v>
      </c>
      <c r="G113" s="42" t="e">
        <f>G122/G125*100</f>
        <v>#DIV/0!</v>
      </c>
      <c r="H113" s="3"/>
    </row>
    <row r="114" spans="1:8" x14ac:dyDescent="0.25">
      <c r="A114" s="50"/>
      <c r="B114" s="43" t="s">
        <v>1335</v>
      </c>
      <c r="C114" s="41"/>
      <c r="D114" s="39" t="s">
        <v>9</v>
      </c>
      <c r="E114" s="42">
        <v>100</v>
      </c>
      <c r="F114" s="42" t="e">
        <f>F123/F126*100</f>
        <v>#DIV/0!</v>
      </c>
      <c r="G114" s="42" t="e">
        <f>G123/G126*100</f>
        <v>#DIV/0!</v>
      </c>
      <c r="H114" s="3"/>
    </row>
    <row r="115" spans="1:8" ht="90" x14ac:dyDescent="0.25">
      <c r="A115" s="22"/>
      <c r="B115" s="15" t="s">
        <v>399</v>
      </c>
      <c r="C115" s="6" t="s">
        <v>400</v>
      </c>
      <c r="D115" s="6" t="s">
        <v>1076</v>
      </c>
      <c r="E115" s="10"/>
      <c r="F115" s="10"/>
      <c r="G115" s="10"/>
    </row>
    <row r="116" spans="1:8" x14ac:dyDescent="0.25">
      <c r="A116" s="22"/>
      <c r="B116" s="15" t="s">
        <v>1333</v>
      </c>
      <c r="C116" s="6"/>
      <c r="D116" s="6"/>
      <c r="E116" s="10"/>
      <c r="F116" s="10">
        <v>1131</v>
      </c>
      <c r="G116" s="10"/>
    </row>
    <row r="117" spans="1:8" x14ac:dyDescent="0.25">
      <c r="A117" s="22"/>
      <c r="B117" s="15" t="s">
        <v>1335</v>
      </c>
      <c r="C117" s="6"/>
      <c r="D117" s="6"/>
      <c r="E117" s="10"/>
      <c r="F117" s="10">
        <v>0</v>
      </c>
      <c r="G117" s="10"/>
    </row>
    <row r="118" spans="1:8" ht="75" x14ac:dyDescent="0.25">
      <c r="A118" s="22"/>
      <c r="B118" s="15" t="s">
        <v>401</v>
      </c>
      <c r="C118" s="6" t="s">
        <v>402</v>
      </c>
      <c r="D118" s="6" t="s">
        <v>1076</v>
      </c>
      <c r="E118" s="10"/>
      <c r="F118" s="10"/>
      <c r="G118" s="10"/>
    </row>
    <row r="119" spans="1:8" x14ac:dyDescent="0.25">
      <c r="A119" s="22"/>
      <c r="B119" s="15" t="s">
        <v>1333</v>
      </c>
      <c r="C119" s="6"/>
      <c r="D119" s="6"/>
      <c r="E119" s="10"/>
      <c r="F119" s="10">
        <v>1772</v>
      </c>
      <c r="G119" s="10"/>
    </row>
    <row r="120" spans="1:8" x14ac:dyDescent="0.25">
      <c r="A120" s="22"/>
      <c r="B120" s="15" t="s">
        <v>1335</v>
      </c>
      <c r="C120" s="6"/>
      <c r="D120" s="6"/>
      <c r="E120" s="10"/>
      <c r="F120" s="10">
        <v>0</v>
      </c>
      <c r="G120" s="10"/>
    </row>
    <row r="121" spans="1:8" ht="75" x14ac:dyDescent="0.25">
      <c r="A121" s="22"/>
      <c r="B121" s="15" t="s">
        <v>403</v>
      </c>
      <c r="C121" s="6" t="s">
        <v>404</v>
      </c>
      <c r="D121" s="6" t="s">
        <v>1076</v>
      </c>
      <c r="E121" s="10"/>
      <c r="F121" s="10"/>
      <c r="G121" s="10"/>
    </row>
    <row r="122" spans="1:8" x14ac:dyDescent="0.25">
      <c r="A122" s="22"/>
      <c r="B122" s="15" t="s">
        <v>1333</v>
      </c>
      <c r="C122" s="6"/>
      <c r="D122" s="6"/>
      <c r="E122" s="10"/>
      <c r="F122" s="10">
        <v>668</v>
      </c>
      <c r="G122" s="10"/>
    </row>
    <row r="123" spans="1:8" x14ac:dyDescent="0.25">
      <c r="A123" s="22"/>
      <c r="B123" s="15" t="s">
        <v>1335</v>
      </c>
      <c r="C123" s="6"/>
      <c r="D123" s="6"/>
      <c r="E123" s="10"/>
      <c r="F123" s="10">
        <v>0</v>
      </c>
      <c r="G123" s="10"/>
    </row>
    <row r="124" spans="1:8" ht="75" x14ac:dyDescent="0.25">
      <c r="A124" s="22"/>
      <c r="B124" s="15" t="s">
        <v>405</v>
      </c>
      <c r="C124" s="6" t="s">
        <v>406</v>
      </c>
      <c r="D124" s="6" t="s">
        <v>1076</v>
      </c>
      <c r="E124" s="10"/>
      <c r="F124" s="10"/>
      <c r="G124" s="10"/>
    </row>
    <row r="125" spans="1:8" x14ac:dyDescent="0.25">
      <c r="A125" s="22"/>
      <c r="B125" s="15" t="s">
        <v>1333</v>
      </c>
      <c r="C125" s="6"/>
      <c r="D125" s="6"/>
      <c r="E125" s="10"/>
      <c r="F125" s="10">
        <v>1133</v>
      </c>
      <c r="G125" s="10"/>
    </row>
    <row r="126" spans="1:8" x14ac:dyDescent="0.25">
      <c r="A126" s="22"/>
      <c r="B126" s="15" t="s">
        <v>1335</v>
      </c>
      <c r="C126" s="6"/>
      <c r="D126" s="6"/>
      <c r="E126" s="10"/>
      <c r="F126" s="10">
        <v>0</v>
      </c>
      <c r="G126" s="10"/>
    </row>
    <row r="127" spans="1:8" ht="90" x14ac:dyDescent="0.25">
      <c r="A127" s="39" t="s">
        <v>412</v>
      </c>
      <c r="B127" s="40" t="s">
        <v>407</v>
      </c>
      <c r="C127" s="39"/>
      <c r="D127" s="39"/>
      <c r="E127" s="47"/>
      <c r="F127" s="47"/>
      <c r="G127" s="47"/>
      <c r="H127" s="3" t="s">
        <v>24</v>
      </c>
    </row>
    <row r="128" spans="1:8" x14ac:dyDescent="0.25">
      <c r="A128" s="51"/>
      <c r="B128" s="40" t="s">
        <v>414</v>
      </c>
      <c r="C128" s="39"/>
      <c r="D128" s="39" t="s">
        <v>9</v>
      </c>
      <c r="E128" s="42">
        <v>10</v>
      </c>
      <c r="F128" s="42" t="e">
        <f>F130/F132*100</f>
        <v>#DIV/0!</v>
      </c>
      <c r="G128" s="42" t="e">
        <f>G130/G132*100</f>
        <v>#DIV/0!</v>
      </c>
      <c r="H128" s="3"/>
    </row>
    <row r="129" spans="1:8" x14ac:dyDescent="0.25">
      <c r="A129" s="51"/>
      <c r="B129" s="40" t="s">
        <v>415</v>
      </c>
      <c r="C129" s="39"/>
      <c r="D129" s="39" t="s">
        <v>9</v>
      </c>
      <c r="E129" s="42">
        <v>28.89</v>
      </c>
      <c r="F129" s="42" t="e">
        <f>F131/F132*100</f>
        <v>#DIV/0!</v>
      </c>
      <c r="G129" s="42" t="e">
        <f>G131/G132*100</f>
        <v>#DIV/0!</v>
      </c>
      <c r="H129" s="3"/>
    </row>
    <row r="130" spans="1:8" ht="90" x14ac:dyDescent="0.25">
      <c r="A130" s="17"/>
      <c r="B130" s="15" t="s">
        <v>408</v>
      </c>
      <c r="C130" s="6" t="s">
        <v>409</v>
      </c>
      <c r="D130" s="6" t="s">
        <v>1076</v>
      </c>
      <c r="E130" s="10"/>
      <c r="F130" s="10">
        <v>0</v>
      </c>
      <c r="G130" s="10"/>
    </row>
    <row r="131" spans="1:8" ht="90" x14ac:dyDescent="0.25">
      <c r="A131" s="17"/>
      <c r="B131" s="15" t="s">
        <v>410</v>
      </c>
      <c r="C131" s="6" t="s">
        <v>411</v>
      </c>
      <c r="D131" s="6" t="s">
        <v>1076</v>
      </c>
      <c r="E131" s="10"/>
      <c r="F131" s="10">
        <v>0</v>
      </c>
      <c r="G131" s="10"/>
    </row>
    <row r="132" spans="1:8" ht="90" x14ac:dyDescent="0.25">
      <c r="A132" s="17"/>
      <c r="B132" s="15" t="s">
        <v>390</v>
      </c>
      <c r="C132" s="6" t="s">
        <v>391</v>
      </c>
      <c r="D132" s="6" t="s">
        <v>1076</v>
      </c>
      <c r="E132" s="10"/>
      <c r="F132" s="10">
        <v>0</v>
      </c>
      <c r="G132" s="10"/>
    </row>
    <row r="133" spans="1:8" ht="90" x14ac:dyDescent="0.25">
      <c r="A133" s="39" t="s">
        <v>359</v>
      </c>
      <c r="B133" s="40" t="s">
        <v>413</v>
      </c>
      <c r="C133" s="39"/>
      <c r="D133" s="39"/>
      <c r="E133" s="47"/>
      <c r="F133" s="47"/>
      <c r="G133" s="47"/>
      <c r="H133" s="3" t="s">
        <v>286</v>
      </c>
    </row>
    <row r="134" spans="1:8" x14ac:dyDescent="0.25">
      <c r="A134" s="51"/>
      <c r="B134" s="43" t="s">
        <v>414</v>
      </c>
      <c r="C134" s="39"/>
      <c r="D134" s="39"/>
      <c r="E134" s="47"/>
      <c r="F134" s="47"/>
      <c r="G134" s="47"/>
    </row>
    <row r="135" spans="1:8" x14ac:dyDescent="0.25">
      <c r="A135" s="51"/>
      <c r="B135" s="43" t="s">
        <v>1333</v>
      </c>
      <c r="C135" s="41"/>
      <c r="D135" s="39" t="s">
        <v>9</v>
      </c>
      <c r="E135" s="42">
        <v>30.96</v>
      </c>
      <c r="F135" s="42">
        <v>29.43</v>
      </c>
      <c r="G135" s="42" t="e">
        <f>G141/G147*100</f>
        <v>#DIV/0!</v>
      </c>
      <c r="H135">
        <v>29.43</v>
      </c>
    </row>
    <row r="136" spans="1:8" x14ac:dyDescent="0.25">
      <c r="A136" s="51"/>
      <c r="B136" s="43" t="s">
        <v>1335</v>
      </c>
      <c r="C136" s="41"/>
      <c r="D136" s="39" t="s">
        <v>9</v>
      </c>
      <c r="E136" s="42">
        <v>33.33</v>
      </c>
      <c r="F136" s="42" t="e">
        <f>F142/F148*100</f>
        <v>#DIV/0!</v>
      </c>
      <c r="G136" s="42" t="e">
        <f>G142/G148*100</f>
        <v>#DIV/0!</v>
      </c>
    </row>
    <row r="137" spans="1:8" x14ac:dyDescent="0.25">
      <c r="A137" s="51"/>
      <c r="B137" s="43" t="s">
        <v>1285</v>
      </c>
      <c r="C137" s="39"/>
      <c r="D137" s="39"/>
      <c r="E137" s="47"/>
      <c r="F137" s="47"/>
      <c r="G137" s="47"/>
    </row>
    <row r="138" spans="1:8" x14ac:dyDescent="0.25">
      <c r="A138" s="51"/>
      <c r="B138" s="43" t="s">
        <v>1333</v>
      </c>
      <c r="C138" s="39"/>
      <c r="D138" s="39" t="s">
        <v>9</v>
      </c>
      <c r="E138" s="42">
        <v>21</v>
      </c>
      <c r="F138" s="42">
        <f>F144/F147*100</f>
        <v>27.200902934537247</v>
      </c>
      <c r="G138" s="42" t="e">
        <f>G144/G147*100</f>
        <v>#DIV/0!</v>
      </c>
      <c r="H138">
        <v>27.2</v>
      </c>
    </row>
    <row r="139" spans="1:8" x14ac:dyDescent="0.25">
      <c r="A139" s="51"/>
      <c r="B139" s="43" t="s">
        <v>1335</v>
      </c>
      <c r="C139" s="39"/>
      <c r="D139" s="39" t="s">
        <v>9</v>
      </c>
      <c r="E139" s="42">
        <v>0</v>
      </c>
      <c r="F139" s="42" t="e">
        <f>F145/F148*100</f>
        <v>#DIV/0!</v>
      </c>
      <c r="G139" s="42" t="e">
        <f>G145/G148*100</f>
        <v>#DIV/0!</v>
      </c>
    </row>
    <row r="140" spans="1:8" ht="90" x14ac:dyDescent="0.25">
      <c r="A140" s="17"/>
      <c r="B140" s="15" t="s">
        <v>416</v>
      </c>
      <c r="C140" s="6" t="s">
        <v>417</v>
      </c>
      <c r="D140" s="6" t="s">
        <v>1076</v>
      </c>
      <c r="E140" s="10"/>
      <c r="F140" s="10"/>
      <c r="G140" s="10"/>
    </row>
    <row r="141" spans="1:8" x14ac:dyDescent="0.25">
      <c r="A141" s="82"/>
      <c r="B141" s="15" t="s">
        <v>1333</v>
      </c>
      <c r="C141" s="6"/>
      <c r="D141" s="6"/>
      <c r="E141" s="10"/>
      <c r="F141" s="10">
        <v>521</v>
      </c>
      <c r="G141" s="10"/>
    </row>
    <row r="142" spans="1:8" x14ac:dyDescent="0.25">
      <c r="A142" s="82"/>
      <c r="B142" s="15" t="s">
        <v>1335</v>
      </c>
      <c r="C142" s="6"/>
      <c r="D142" s="6"/>
      <c r="E142" s="10"/>
      <c r="F142" s="10">
        <v>0</v>
      </c>
      <c r="G142" s="10"/>
    </row>
    <row r="143" spans="1:8" ht="90" x14ac:dyDescent="0.25">
      <c r="A143" s="17"/>
      <c r="B143" s="15" t="s">
        <v>418</v>
      </c>
      <c r="C143" s="6" t="s">
        <v>419</v>
      </c>
      <c r="D143" s="6" t="s">
        <v>1076</v>
      </c>
      <c r="E143" s="10"/>
      <c r="F143" s="10"/>
      <c r="G143" s="10"/>
    </row>
    <row r="144" spans="1:8" x14ac:dyDescent="0.25">
      <c r="A144" s="82"/>
      <c r="B144" s="15" t="s">
        <v>1333</v>
      </c>
      <c r="C144" s="6"/>
      <c r="D144" s="6"/>
      <c r="E144" s="10"/>
      <c r="F144" s="10">
        <v>482</v>
      </c>
      <c r="G144" s="10"/>
    </row>
    <row r="145" spans="1:8" x14ac:dyDescent="0.25">
      <c r="A145" s="82"/>
      <c r="B145" s="15" t="s">
        <v>1335</v>
      </c>
      <c r="C145" s="6"/>
      <c r="D145" s="6"/>
      <c r="E145" s="10"/>
      <c r="F145" s="10">
        <v>0</v>
      </c>
      <c r="G145" s="10"/>
    </row>
    <row r="146" spans="1:8" ht="75" x14ac:dyDescent="0.25">
      <c r="A146" s="17"/>
      <c r="B146" s="15" t="s">
        <v>420</v>
      </c>
      <c r="C146" s="6" t="s">
        <v>402</v>
      </c>
      <c r="D146" s="6" t="s">
        <v>1076</v>
      </c>
      <c r="E146" s="10"/>
      <c r="F146" s="10"/>
      <c r="G146" s="10"/>
    </row>
    <row r="147" spans="1:8" x14ac:dyDescent="0.25">
      <c r="A147" s="82"/>
      <c r="B147" s="15" t="s">
        <v>1333</v>
      </c>
      <c r="C147" s="6"/>
      <c r="D147" s="6"/>
      <c r="E147" s="10"/>
      <c r="F147" s="10">
        <v>1772</v>
      </c>
      <c r="G147" s="10"/>
    </row>
    <row r="148" spans="1:8" x14ac:dyDescent="0.25">
      <c r="A148" s="82"/>
      <c r="B148" s="15" t="s">
        <v>1335</v>
      </c>
      <c r="C148" s="6"/>
      <c r="D148" s="6"/>
      <c r="E148" s="10"/>
      <c r="F148" s="10">
        <v>0</v>
      </c>
      <c r="G148" s="10"/>
    </row>
    <row r="149" spans="1:8" ht="75" x14ac:dyDescent="0.25">
      <c r="A149" s="39" t="s">
        <v>421</v>
      </c>
      <c r="B149" s="40" t="s">
        <v>422</v>
      </c>
      <c r="C149" s="39"/>
      <c r="D149" s="39" t="s">
        <v>1076</v>
      </c>
      <c r="E149" s="46"/>
      <c r="F149" s="46"/>
      <c r="G149" s="46"/>
    </row>
    <row r="150" spans="1:8" ht="60" x14ac:dyDescent="0.25">
      <c r="A150" s="67"/>
      <c r="B150" s="40" t="s">
        <v>423</v>
      </c>
      <c r="C150" s="39"/>
      <c r="D150" s="39" t="s">
        <v>9</v>
      </c>
      <c r="E150" s="42">
        <v>12.93</v>
      </c>
      <c r="F150" s="42" t="e">
        <f>(F151+F152)/(F153+F154+F155+F156+F157+F158+F159+F160)*100</f>
        <v>#DIV/0!</v>
      </c>
      <c r="G150" s="42" t="e">
        <f>(G151+G152)/(G153+G154+G155+G156+G157+G158+G159+G160)*100</f>
        <v>#DIV/0!</v>
      </c>
      <c r="H150" s="3" t="s">
        <v>286</v>
      </c>
    </row>
    <row r="151" spans="1:8" ht="60" x14ac:dyDescent="0.25">
      <c r="A151" s="17"/>
      <c r="B151" s="15" t="s">
        <v>424</v>
      </c>
      <c r="C151" s="6" t="s">
        <v>363</v>
      </c>
      <c r="D151" s="6" t="s">
        <v>1076</v>
      </c>
      <c r="E151" s="10"/>
      <c r="F151" s="10">
        <v>0</v>
      </c>
      <c r="G151" s="10"/>
      <c r="H151" s="19"/>
    </row>
    <row r="152" spans="1:8" ht="60" x14ac:dyDescent="0.25">
      <c r="A152" s="17"/>
      <c r="B152" s="15" t="s">
        <v>425</v>
      </c>
      <c r="C152" s="6" t="s">
        <v>364</v>
      </c>
      <c r="D152" s="6" t="s">
        <v>1076</v>
      </c>
      <c r="E152" s="10"/>
      <c r="F152" s="10">
        <v>0</v>
      </c>
      <c r="G152" s="10"/>
      <c r="H152" s="19"/>
    </row>
    <row r="153" spans="1:8" ht="60" x14ac:dyDescent="0.25">
      <c r="A153" s="17"/>
      <c r="B153" s="15" t="s">
        <v>426</v>
      </c>
      <c r="C153" s="6" t="s">
        <v>427</v>
      </c>
      <c r="D153" s="6" t="s">
        <v>1076</v>
      </c>
      <c r="E153" s="10"/>
      <c r="F153" s="10">
        <v>0</v>
      </c>
      <c r="G153" s="10"/>
    </row>
    <row r="154" spans="1:8" ht="60" x14ac:dyDescent="0.25">
      <c r="A154" s="17"/>
      <c r="B154" s="15" t="s">
        <v>428</v>
      </c>
      <c r="C154" s="6" t="s">
        <v>348</v>
      </c>
      <c r="D154" s="6" t="s">
        <v>1076</v>
      </c>
      <c r="E154" s="10"/>
      <c r="F154" s="10">
        <v>0</v>
      </c>
      <c r="G154" s="10"/>
      <c r="H154" s="19"/>
    </row>
    <row r="155" spans="1:8" ht="60" x14ac:dyDescent="0.25">
      <c r="A155" s="17"/>
      <c r="B155" s="15" t="s">
        <v>429</v>
      </c>
      <c r="C155" s="6" t="s">
        <v>347</v>
      </c>
      <c r="D155" s="6" t="s">
        <v>1076</v>
      </c>
      <c r="E155" s="10"/>
      <c r="F155" s="10">
        <v>0</v>
      </c>
      <c r="G155" s="10"/>
    </row>
    <row r="156" spans="1:8" ht="60" x14ac:dyDescent="0.25">
      <c r="A156" s="17"/>
      <c r="B156" s="15" t="s">
        <v>430</v>
      </c>
      <c r="C156" s="6" t="s">
        <v>349</v>
      </c>
      <c r="D156" s="6" t="s">
        <v>1076</v>
      </c>
      <c r="E156" s="10"/>
      <c r="F156" s="10">
        <v>0</v>
      </c>
      <c r="G156" s="10"/>
    </row>
    <row r="157" spans="1:8" ht="60" x14ac:dyDescent="0.25">
      <c r="A157" s="17"/>
      <c r="B157" s="15" t="s">
        <v>431</v>
      </c>
      <c r="C157" s="6" t="s">
        <v>432</v>
      </c>
      <c r="D157" s="6" t="s">
        <v>1076</v>
      </c>
      <c r="E157" s="10"/>
      <c r="F157" s="10">
        <v>0</v>
      </c>
      <c r="G157" s="10"/>
    </row>
    <row r="158" spans="1:8" ht="60" x14ac:dyDescent="0.25">
      <c r="A158" s="17"/>
      <c r="B158" s="15" t="s">
        <v>433</v>
      </c>
      <c r="C158" s="6" t="s">
        <v>434</v>
      </c>
      <c r="D158" s="6" t="s">
        <v>1076</v>
      </c>
      <c r="E158" s="10"/>
      <c r="F158" s="10">
        <v>0</v>
      </c>
      <c r="G158" s="10"/>
    </row>
    <row r="159" spans="1:8" ht="75" x14ac:dyDescent="0.25">
      <c r="A159" s="17"/>
      <c r="B159" s="15" t="s">
        <v>435</v>
      </c>
      <c r="C159" s="6" t="s">
        <v>395</v>
      </c>
      <c r="D159" s="6" t="s">
        <v>1076</v>
      </c>
      <c r="E159" s="10"/>
      <c r="F159" s="10">
        <v>0</v>
      </c>
      <c r="G159" s="10"/>
    </row>
    <row r="160" spans="1:8" ht="75" x14ac:dyDescent="0.25">
      <c r="A160" s="17"/>
      <c r="B160" s="15" t="s">
        <v>436</v>
      </c>
      <c r="C160" s="6" t="s">
        <v>437</v>
      </c>
      <c r="D160" s="6" t="s">
        <v>1076</v>
      </c>
      <c r="E160" s="10"/>
      <c r="F160" s="10">
        <v>0</v>
      </c>
      <c r="G160" s="10"/>
    </row>
    <row r="161" spans="1:8" ht="30" x14ac:dyDescent="0.25">
      <c r="A161" s="67"/>
      <c r="B161" s="40" t="s">
        <v>438</v>
      </c>
      <c r="C161" s="39"/>
      <c r="D161" s="39" t="s">
        <v>9</v>
      </c>
      <c r="E161" s="42">
        <v>8.0299999999999994</v>
      </c>
      <c r="F161" s="42">
        <v>8.31</v>
      </c>
      <c r="G161" s="42"/>
      <c r="H161" s="3" t="s">
        <v>24</v>
      </c>
    </row>
    <row r="162" spans="1:8" ht="45" x14ac:dyDescent="0.25">
      <c r="A162" s="17"/>
      <c r="B162" s="15" t="s">
        <v>374</v>
      </c>
      <c r="C162" s="6" t="s">
        <v>375</v>
      </c>
      <c r="D162" s="6" t="s">
        <v>1076</v>
      </c>
      <c r="E162" s="10"/>
      <c r="F162" s="10">
        <v>13790</v>
      </c>
      <c r="G162" s="10"/>
      <c r="H162" s="19"/>
    </row>
    <row r="163" spans="1:8" ht="45" x14ac:dyDescent="0.25">
      <c r="A163" s="17"/>
      <c r="B163" s="15" t="s">
        <v>376</v>
      </c>
      <c r="C163" s="6" t="s">
        <v>439</v>
      </c>
      <c r="D163" s="6" t="s">
        <v>1076</v>
      </c>
      <c r="E163" s="10"/>
      <c r="F163" s="10">
        <v>311</v>
      </c>
      <c r="G163" s="10"/>
    </row>
    <row r="164" spans="1:8" ht="45" x14ac:dyDescent="0.25">
      <c r="A164" s="81"/>
      <c r="B164" s="81" t="s">
        <v>440</v>
      </c>
      <c r="C164" s="6" t="s">
        <v>379</v>
      </c>
      <c r="D164" s="6" t="s">
        <v>1076</v>
      </c>
      <c r="E164" s="10"/>
      <c r="F164" s="10">
        <v>5979</v>
      </c>
      <c r="G164" s="10"/>
      <c r="H164" s="19"/>
    </row>
    <row r="165" spans="1:8" ht="75" x14ac:dyDescent="0.25">
      <c r="A165" s="17"/>
      <c r="B165" s="15" t="s">
        <v>405</v>
      </c>
      <c r="C165" s="6" t="s">
        <v>406</v>
      </c>
      <c r="D165" s="6" t="s">
        <v>1076</v>
      </c>
      <c r="E165" s="10"/>
      <c r="F165" s="10">
        <v>1113</v>
      </c>
      <c r="G165" s="10"/>
      <c r="H165" s="19"/>
    </row>
    <row r="166" spans="1:8" ht="75" x14ac:dyDescent="0.25">
      <c r="A166" s="17"/>
      <c r="B166" s="15" t="s">
        <v>441</v>
      </c>
      <c r="C166" s="6" t="s">
        <v>442</v>
      </c>
      <c r="D166" s="6" t="s">
        <v>1076</v>
      </c>
      <c r="E166" s="10"/>
      <c r="F166" s="10">
        <v>284</v>
      </c>
      <c r="G166" s="10"/>
    </row>
    <row r="167" spans="1:8" ht="75" x14ac:dyDescent="0.25">
      <c r="A167" s="39" t="s">
        <v>443</v>
      </c>
      <c r="B167" s="40" t="s">
        <v>444</v>
      </c>
      <c r="C167" s="39"/>
      <c r="D167" s="39" t="s">
        <v>9</v>
      </c>
      <c r="E167" s="42" t="e">
        <f>(((E168+E169+E170+E171)/(E172+E173+E174+E175))/12*1000)/E176*100</f>
        <v>#DIV/0!</v>
      </c>
      <c r="F167" s="42">
        <v>106.5</v>
      </c>
      <c r="G167" s="42"/>
      <c r="H167" s="3" t="s">
        <v>24</v>
      </c>
    </row>
    <row r="168" spans="1:8" ht="30" x14ac:dyDescent="0.25">
      <c r="A168" s="433"/>
      <c r="B168" s="433" t="s">
        <v>445</v>
      </c>
      <c r="C168" s="6" t="s">
        <v>446</v>
      </c>
      <c r="D168" s="6" t="s">
        <v>1270</v>
      </c>
      <c r="E168" s="10"/>
      <c r="F168" s="10"/>
      <c r="G168" s="10"/>
      <c r="H168" s="19"/>
    </row>
    <row r="169" spans="1:8" ht="30" x14ac:dyDescent="0.25">
      <c r="A169" s="434"/>
      <c r="B169" s="434"/>
      <c r="C169" s="6" t="s">
        <v>447</v>
      </c>
      <c r="D169" s="6" t="s">
        <v>1270</v>
      </c>
      <c r="E169" s="10"/>
      <c r="F169" s="10"/>
      <c r="G169" s="10"/>
    </row>
    <row r="170" spans="1:8" ht="30" x14ac:dyDescent="0.25">
      <c r="A170" s="434"/>
      <c r="B170" s="434"/>
      <c r="C170" s="6" t="s">
        <v>448</v>
      </c>
      <c r="D170" s="6" t="s">
        <v>1270</v>
      </c>
      <c r="E170" s="10"/>
      <c r="F170" s="10"/>
      <c r="G170" s="10"/>
    </row>
    <row r="171" spans="1:8" ht="30" x14ac:dyDescent="0.25">
      <c r="A171" s="435"/>
      <c r="B171" s="435"/>
      <c r="C171" s="6" t="s">
        <v>449</v>
      </c>
      <c r="D171" s="6" t="s">
        <v>1270</v>
      </c>
      <c r="E171" s="10"/>
      <c r="F171" s="10"/>
      <c r="G171" s="10"/>
    </row>
    <row r="172" spans="1:8" ht="30" x14ac:dyDescent="0.25">
      <c r="A172" s="433"/>
      <c r="B172" s="433" t="s">
        <v>450</v>
      </c>
      <c r="C172" s="6" t="s">
        <v>451</v>
      </c>
      <c r="D172" s="35" t="s">
        <v>1076</v>
      </c>
      <c r="E172" s="10"/>
      <c r="F172" s="10"/>
      <c r="G172" s="10"/>
      <c r="H172" s="19"/>
    </row>
    <row r="173" spans="1:8" ht="30" x14ac:dyDescent="0.25">
      <c r="A173" s="434"/>
      <c r="B173" s="434"/>
      <c r="C173" s="6" t="s">
        <v>452</v>
      </c>
      <c r="D173" s="35" t="s">
        <v>1076</v>
      </c>
      <c r="E173" s="10"/>
      <c r="F173" s="10"/>
      <c r="G173" s="10"/>
    </row>
    <row r="174" spans="1:8" ht="30" x14ac:dyDescent="0.25">
      <c r="A174" s="434"/>
      <c r="B174" s="434"/>
      <c r="C174" s="6" t="s">
        <v>453</v>
      </c>
      <c r="D174" s="35" t="s">
        <v>1076</v>
      </c>
      <c r="E174" s="10"/>
      <c r="F174" s="10"/>
      <c r="G174" s="10"/>
    </row>
    <row r="175" spans="1:8" ht="30" x14ac:dyDescent="0.25">
      <c r="A175" s="435"/>
      <c r="B175" s="435"/>
      <c r="C175" s="6" t="s">
        <v>454</v>
      </c>
      <c r="D175" s="35" t="s">
        <v>1076</v>
      </c>
      <c r="E175" s="10"/>
      <c r="F175" s="10"/>
      <c r="G175" s="10"/>
    </row>
    <row r="176" spans="1:8" ht="30" x14ac:dyDescent="0.25">
      <c r="A176" s="17"/>
      <c r="B176" s="15" t="s">
        <v>455</v>
      </c>
      <c r="C176" s="6" t="s">
        <v>184</v>
      </c>
      <c r="D176" s="6" t="s">
        <v>1270</v>
      </c>
      <c r="E176" s="10"/>
      <c r="F176" s="10"/>
      <c r="G176" s="10"/>
    </row>
    <row r="177" spans="1:8" ht="45" x14ac:dyDescent="0.25">
      <c r="A177" s="125" t="s">
        <v>456</v>
      </c>
      <c r="B177" s="126" t="s">
        <v>1526</v>
      </c>
      <c r="C177" s="125"/>
      <c r="D177" s="125" t="s">
        <v>9</v>
      </c>
      <c r="E177" s="127"/>
      <c r="F177" s="127"/>
      <c r="G177" s="127"/>
      <c r="H177" s="3" t="s">
        <v>106</v>
      </c>
    </row>
    <row r="178" spans="1:8" ht="75" x14ac:dyDescent="0.25">
      <c r="A178" s="125" t="s">
        <v>457</v>
      </c>
      <c r="B178" s="126" t="s">
        <v>1527</v>
      </c>
      <c r="C178" s="125"/>
      <c r="D178" s="125" t="s">
        <v>9</v>
      </c>
      <c r="E178" s="127"/>
      <c r="F178" s="127"/>
      <c r="G178" s="127"/>
      <c r="H178" s="3" t="s">
        <v>106</v>
      </c>
    </row>
    <row r="179" spans="1:8" ht="90" x14ac:dyDescent="0.25">
      <c r="A179" s="125" t="s">
        <v>1528</v>
      </c>
      <c r="B179" s="126" t="s">
        <v>1529</v>
      </c>
      <c r="C179" s="125"/>
      <c r="D179" s="125" t="s">
        <v>9</v>
      </c>
      <c r="E179" s="127" t="e">
        <f>E180/E181</f>
        <v>#DIV/0!</v>
      </c>
      <c r="F179" s="127" t="e">
        <f t="shared" ref="F179:G179" si="0">F180/F181</f>
        <v>#DIV/0!</v>
      </c>
      <c r="G179" s="127" t="e">
        <f t="shared" si="0"/>
        <v>#DIV/0!</v>
      </c>
    </row>
    <row r="180" spans="1:8" ht="45" x14ac:dyDescent="0.25">
      <c r="A180" s="122"/>
      <c r="B180" s="15" t="s">
        <v>1530</v>
      </c>
      <c r="C180" s="6"/>
      <c r="D180" s="6" t="s">
        <v>1076</v>
      </c>
      <c r="E180" s="10"/>
      <c r="F180" s="10"/>
      <c r="G180" s="10"/>
    </row>
    <row r="181" spans="1:8" ht="45" x14ac:dyDescent="0.25">
      <c r="A181" s="122"/>
      <c r="B181" s="15" t="s">
        <v>1531</v>
      </c>
      <c r="C181" s="6"/>
      <c r="D181" s="6" t="s">
        <v>1076</v>
      </c>
      <c r="E181" s="10"/>
      <c r="F181" s="10"/>
      <c r="G181" s="10"/>
    </row>
    <row r="182" spans="1:8" ht="90" x14ac:dyDescent="0.25">
      <c r="A182" s="125" t="s">
        <v>1532</v>
      </c>
      <c r="B182" s="126" t="s">
        <v>1533</v>
      </c>
      <c r="C182" s="125"/>
      <c r="D182" s="125" t="s">
        <v>9</v>
      </c>
      <c r="E182" s="127" t="e">
        <f>E183/E184</f>
        <v>#DIV/0!</v>
      </c>
      <c r="F182" s="127" t="e">
        <f t="shared" ref="F182" si="1">F183/F184</f>
        <v>#DIV/0!</v>
      </c>
      <c r="G182" s="127" t="e">
        <f t="shared" ref="G182" si="2">G183/G184</f>
        <v>#DIV/0!</v>
      </c>
    </row>
    <row r="183" spans="1:8" ht="45" x14ac:dyDescent="0.25">
      <c r="A183" s="122"/>
      <c r="B183" s="15" t="s">
        <v>1534</v>
      </c>
      <c r="C183" s="6"/>
      <c r="D183" s="6" t="s">
        <v>1076</v>
      </c>
      <c r="E183" s="10"/>
      <c r="F183" s="10"/>
      <c r="G183" s="10"/>
    </row>
    <row r="184" spans="1:8" ht="45" x14ac:dyDescent="0.25">
      <c r="A184" s="122"/>
      <c r="B184" s="15" t="s">
        <v>1535</v>
      </c>
      <c r="C184" s="6"/>
      <c r="D184" s="6" t="s">
        <v>1076</v>
      </c>
      <c r="E184" s="10"/>
      <c r="F184" s="10"/>
      <c r="G184" s="10"/>
    </row>
    <row r="185" spans="1:8" ht="60" x14ac:dyDescent="0.25">
      <c r="A185" s="44" t="s">
        <v>458</v>
      </c>
      <c r="B185" s="45" t="s">
        <v>459</v>
      </c>
      <c r="C185" s="41"/>
      <c r="D185" s="39"/>
      <c r="E185" s="41"/>
      <c r="F185" s="41"/>
      <c r="G185" s="41"/>
    </row>
    <row r="186" spans="1:8" ht="75" x14ac:dyDescent="0.25">
      <c r="A186" s="39" t="s">
        <v>461</v>
      </c>
      <c r="B186" s="40" t="s">
        <v>460</v>
      </c>
      <c r="C186" s="41"/>
      <c r="D186" s="39"/>
      <c r="E186" s="47"/>
      <c r="F186" s="47"/>
      <c r="G186" s="47"/>
      <c r="H186" s="3" t="s">
        <v>286</v>
      </c>
    </row>
    <row r="187" spans="1:8" x14ac:dyDescent="0.25">
      <c r="A187" s="39"/>
      <c r="B187" s="43" t="s">
        <v>1333</v>
      </c>
      <c r="C187" s="41"/>
      <c r="D187" s="39" t="s">
        <v>9</v>
      </c>
      <c r="E187" s="42">
        <v>85.94</v>
      </c>
      <c r="F187" s="42">
        <f>F190/F193*100</f>
        <v>88.349195930423363</v>
      </c>
      <c r="G187" s="42" t="e">
        <f>G190/G193*100</f>
        <v>#DIV/0!</v>
      </c>
      <c r="H187" s="3"/>
    </row>
    <row r="188" spans="1:8" x14ac:dyDescent="0.25">
      <c r="A188" s="39"/>
      <c r="B188" s="43" t="s">
        <v>1335</v>
      </c>
      <c r="C188" s="41"/>
      <c r="D188" s="39" t="s">
        <v>9</v>
      </c>
      <c r="E188" s="42">
        <v>0</v>
      </c>
      <c r="F188" s="42" t="e">
        <f>F191/F194*100</f>
        <v>#DIV/0!</v>
      </c>
      <c r="G188" s="42" t="e">
        <f>G191/G194*100</f>
        <v>#DIV/0!</v>
      </c>
      <c r="H188" s="3"/>
    </row>
    <row r="189" spans="1:8" ht="90" x14ac:dyDescent="0.25">
      <c r="A189" s="6"/>
      <c r="B189" s="15" t="s">
        <v>462</v>
      </c>
      <c r="C189" s="6" t="s">
        <v>463</v>
      </c>
      <c r="D189" s="6" t="s">
        <v>1076</v>
      </c>
      <c r="E189" s="10"/>
      <c r="F189" s="10"/>
      <c r="G189" s="10"/>
      <c r="H189" s="19"/>
    </row>
    <row r="190" spans="1:8" x14ac:dyDescent="0.25">
      <c r="A190" s="6"/>
      <c r="B190" s="15" t="s">
        <v>1333</v>
      </c>
      <c r="C190" s="6"/>
      <c r="D190" s="6"/>
      <c r="E190" s="10"/>
      <c r="F190" s="10">
        <v>2692</v>
      </c>
      <c r="G190" s="10"/>
      <c r="H190" s="19"/>
    </row>
    <row r="191" spans="1:8" x14ac:dyDescent="0.25">
      <c r="A191" s="6"/>
      <c r="B191" s="15" t="s">
        <v>1335</v>
      </c>
      <c r="C191" s="6"/>
      <c r="D191" s="6"/>
      <c r="E191" s="10"/>
      <c r="F191" s="10">
        <v>0</v>
      </c>
      <c r="G191" s="10"/>
      <c r="H191" s="19"/>
    </row>
    <row r="192" spans="1:8" ht="75" x14ac:dyDescent="0.25">
      <c r="A192" s="6"/>
      <c r="B192" s="15" t="s">
        <v>464</v>
      </c>
      <c r="C192" s="6" t="s">
        <v>465</v>
      </c>
      <c r="D192" s="6" t="s">
        <v>1076</v>
      </c>
      <c r="E192" s="10"/>
      <c r="F192" s="10"/>
      <c r="G192" s="10"/>
    </row>
    <row r="193" spans="1:8" x14ac:dyDescent="0.25">
      <c r="A193" s="6"/>
      <c r="B193" s="15" t="s">
        <v>1333</v>
      </c>
      <c r="C193" s="6"/>
      <c r="D193" s="6"/>
      <c r="E193" s="10"/>
      <c r="F193" s="10">
        <v>3047</v>
      </c>
      <c r="G193" s="10"/>
    </row>
    <row r="194" spans="1:8" x14ac:dyDescent="0.25">
      <c r="A194" s="6"/>
      <c r="B194" s="15" t="s">
        <v>1335</v>
      </c>
      <c r="C194" s="6"/>
      <c r="D194" s="6"/>
      <c r="E194" s="10"/>
      <c r="F194" s="10">
        <v>0</v>
      </c>
      <c r="G194" s="10"/>
    </row>
    <row r="195" spans="1:8" ht="60" x14ac:dyDescent="0.25">
      <c r="A195" s="39" t="s">
        <v>466</v>
      </c>
      <c r="B195" s="40" t="s">
        <v>467</v>
      </c>
      <c r="C195" s="41"/>
      <c r="D195" s="39"/>
      <c r="E195" s="47"/>
      <c r="F195" s="47"/>
      <c r="G195" s="47"/>
      <c r="H195" s="3" t="s">
        <v>286</v>
      </c>
    </row>
    <row r="196" spans="1:8" x14ac:dyDescent="0.25">
      <c r="A196" s="39"/>
      <c r="B196" s="43" t="s">
        <v>1333</v>
      </c>
      <c r="C196" s="41"/>
      <c r="D196" s="39" t="s">
        <v>9</v>
      </c>
      <c r="E196" s="42">
        <v>162.6</v>
      </c>
      <c r="F196" s="42">
        <v>162.13</v>
      </c>
      <c r="G196" s="42"/>
      <c r="H196" s="3"/>
    </row>
    <row r="197" spans="1:8" x14ac:dyDescent="0.25">
      <c r="A197" s="39"/>
      <c r="B197" s="43" t="s">
        <v>1335</v>
      </c>
      <c r="C197" s="41"/>
      <c r="D197" s="39" t="s">
        <v>9</v>
      </c>
      <c r="E197" s="42">
        <v>85.14</v>
      </c>
      <c r="F197" s="42">
        <v>797.45</v>
      </c>
      <c r="G197" s="42"/>
      <c r="H197" s="3"/>
    </row>
    <row r="198" spans="1:8" ht="105" x14ac:dyDescent="0.25">
      <c r="A198" s="6"/>
      <c r="B198" s="15" t="s">
        <v>468</v>
      </c>
      <c r="C198" s="6" t="s">
        <v>469</v>
      </c>
      <c r="D198" s="6" t="s">
        <v>1321</v>
      </c>
      <c r="E198" s="10"/>
      <c r="F198" s="10"/>
      <c r="G198" s="10"/>
      <c r="H198" s="3"/>
    </row>
    <row r="199" spans="1:8" x14ac:dyDescent="0.25">
      <c r="A199" s="6"/>
      <c r="B199" s="15" t="s">
        <v>1333</v>
      </c>
      <c r="C199" s="6"/>
      <c r="D199" s="6"/>
      <c r="E199" s="10"/>
      <c r="F199" s="10">
        <v>2809</v>
      </c>
      <c r="G199" s="10"/>
      <c r="H199" s="3"/>
    </row>
    <row r="200" spans="1:8" x14ac:dyDescent="0.25">
      <c r="A200" s="6"/>
      <c r="B200" s="15" t="s">
        <v>1335</v>
      </c>
      <c r="C200" s="6"/>
      <c r="D200" s="6"/>
      <c r="E200" s="10"/>
      <c r="F200" s="10">
        <v>120</v>
      </c>
      <c r="G200" s="10"/>
      <c r="H200" s="3"/>
    </row>
    <row r="201" spans="1:8" ht="75" x14ac:dyDescent="0.25">
      <c r="A201" s="6"/>
      <c r="B201" s="15" t="s">
        <v>470</v>
      </c>
      <c r="C201" s="6" t="s">
        <v>471</v>
      </c>
      <c r="D201" s="6" t="s">
        <v>1076</v>
      </c>
      <c r="E201" s="10"/>
      <c r="F201" s="10"/>
      <c r="G201" s="10"/>
      <c r="H201" s="3"/>
    </row>
    <row r="202" spans="1:8" x14ac:dyDescent="0.25">
      <c r="A202" s="6"/>
      <c r="B202" s="15" t="s">
        <v>1333</v>
      </c>
      <c r="C202" s="6"/>
      <c r="D202" s="6"/>
      <c r="E202" s="10"/>
      <c r="F202" s="10">
        <v>9855</v>
      </c>
      <c r="G202" s="10"/>
      <c r="H202" s="3"/>
    </row>
    <row r="203" spans="1:8" x14ac:dyDescent="0.25">
      <c r="A203" s="6"/>
      <c r="B203" s="15" t="s">
        <v>1335</v>
      </c>
      <c r="C203" s="6"/>
      <c r="D203" s="6"/>
      <c r="E203" s="10"/>
      <c r="F203" s="10">
        <v>76</v>
      </c>
      <c r="G203" s="10"/>
      <c r="H203" s="3"/>
    </row>
    <row r="204" spans="1:8" ht="75" x14ac:dyDescent="0.25">
      <c r="A204" s="39" t="s">
        <v>758</v>
      </c>
      <c r="B204" s="40" t="s">
        <v>477</v>
      </c>
      <c r="C204" s="41"/>
      <c r="D204" s="39"/>
      <c r="E204" s="47"/>
      <c r="F204" s="47"/>
      <c r="G204" s="47"/>
      <c r="H204" s="3" t="s">
        <v>24</v>
      </c>
    </row>
    <row r="205" spans="1:8" x14ac:dyDescent="0.25">
      <c r="A205" s="50"/>
      <c r="B205" s="40" t="s">
        <v>186</v>
      </c>
      <c r="C205" s="41"/>
      <c r="D205" s="39" t="s">
        <v>1268</v>
      </c>
      <c r="E205" s="42">
        <v>20.02</v>
      </c>
      <c r="F205" s="42" t="e">
        <f>F207/(F212+F209+F210+F211++F213+F214+F215+F216)</f>
        <v>#DIV/0!</v>
      </c>
      <c r="G205" s="42" t="e">
        <f>G207/(G212+G209+G210+G211++G213+G214+G215+G216)</f>
        <v>#DIV/0!</v>
      </c>
      <c r="H205" s="3"/>
    </row>
    <row r="206" spans="1:8" x14ac:dyDescent="0.25">
      <c r="A206" s="50"/>
      <c r="B206" s="40" t="s">
        <v>220</v>
      </c>
      <c r="C206" s="41"/>
      <c r="D206" s="39" t="s">
        <v>1268</v>
      </c>
      <c r="E206" s="42">
        <v>7.16</v>
      </c>
      <c r="F206" s="42" t="e">
        <f>F208/(F213+F210+F211+F212++F214+F215+F216+F209)</f>
        <v>#DIV/0!</v>
      </c>
      <c r="G206" s="42" t="e">
        <f>G208/(G213+G210+G211+G212++G214+G215+G216+G209)</f>
        <v>#DIV/0!</v>
      </c>
      <c r="H206" s="3"/>
    </row>
    <row r="207" spans="1:8" ht="75" x14ac:dyDescent="0.25">
      <c r="A207" s="22"/>
      <c r="B207" s="15" t="s">
        <v>472</v>
      </c>
      <c r="C207" s="6" t="s">
        <v>473</v>
      </c>
      <c r="D207" s="6" t="s">
        <v>1268</v>
      </c>
      <c r="E207" s="10"/>
      <c r="F207" s="10"/>
      <c r="G207" s="10"/>
      <c r="H207" s="19"/>
    </row>
    <row r="208" spans="1:8" ht="75" x14ac:dyDescent="0.25">
      <c r="A208" s="22"/>
      <c r="B208" s="15" t="s">
        <v>474</v>
      </c>
      <c r="C208" s="6" t="s">
        <v>475</v>
      </c>
      <c r="D208" s="6" t="s">
        <v>1268</v>
      </c>
      <c r="E208" s="10"/>
      <c r="F208" s="10"/>
      <c r="G208" s="10"/>
    </row>
    <row r="209" spans="1:9" ht="60" x14ac:dyDescent="0.25">
      <c r="A209" s="22"/>
      <c r="B209" s="15" t="s">
        <v>424</v>
      </c>
      <c r="C209" s="6" t="s">
        <v>363</v>
      </c>
      <c r="D209" s="6" t="s">
        <v>1076</v>
      </c>
      <c r="E209" s="10"/>
      <c r="F209" s="10"/>
      <c r="G209" s="10"/>
      <c r="H209" s="19"/>
      <c r="I209" s="19"/>
    </row>
    <row r="210" spans="1:9" ht="60" x14ac:dyDescent="0.25">
      <c r="A210" s="22"/>
      <c r="B210" s="15" t="s">
        <v>425</v>
      </c>
      <c r="C210" s="6" t="s">
        <v>364</v>
      </c>
      <c r="D210" s="6" t="s">
        <v>1076</v>
      </c>
      <c r="E210" s="10"/>
      <c r="F210" s="10"/>
      <c r="G210" s="10"/>
    </row>
    <row r="211" spans="1:9" ht="60" x14ac:dyDescent="0.25">
      <c r="A211" s="6"/>
      <c r="B211" s="15" t="s">
        <v>426</v>
      </c>
      <c r="C211" s="6" t="s">
        <v>427</v>
      </c>
      <c r="D211" s="6" t="s">
        <v>1076</v>
      </c>
      <c r="E211" s="10"/>
      <c r="F211" s="10"/>
      <c r="G211" s="10"/>
    </row>
    <row r="212" spans="1:9" ht="60" x14ac:dyDescent="0.25">
      <c r="A212" s="28"/>
      <c r="B212" s="15" t="s">
        <v>428</v>
      </c>
      <c r="C212" s="6" t="s">
        <v>348</v>
      </c>
      <c r="D212" s="6" t="s">
        <v>1076</v>
      </c>
      <c r="E212" s="10"/>
      <c r="F212" s="10"/>
      <c r="G212" s="10"/>
    </row>
    <row r="213" spans="1:9" ht="60" x14ac:dyDescent="0.25">
      <c r="A213" s="21"/>
      <c r="B213" s="15" t="s">
        <v>429</v>
      </c>
      <c r="C213" s="6" t="s">
        <v>347</v>
      </c>
      <c r="D213" s="6" t="s">
        <v>1076</v>
      </c>
      <c r="E213" s="10"/>
      <c r="F213" s="10"/>
      <c r="G213" s="10"/>
    </row>
    <row r="214" spans="1:9" ht="60" x14ac:dyDescent="0.25">
      <c r="A214" s="21"/>
      <c r="B214" s="15" t="s">
        <v>430</v>
      </c>
      <c r="C214" s="6" t="s">
        <v>349</v>
      </c>
      <c r="D214" s="6" t="s">
        <v>1076</v>
      </c>
      <c r="E214" s="10"/>
      <c r="F214" s="10"/>
      <c r="G214" s="10"/>
    </row>
    <row r="215" spans="1:9" ht="60" x14ac:dyDescent="0.25">
      <c r="A215" s="21"/>
      <c r="B215" s="15" t="s">
        <v>431</v>
      </c>
      <c r="C215" s="6" t="s">
        <v>432</v>
      </c>
      <c r="D215" s="6" t="s">
        <v>1076</v>
      </c>
      <c r="E215" s="10"/>
      <c r="F215" s="10"/>
      <c r="G215" s="10"/>
    </row>
    <row r="216" spans="1:9" ht="60" x14ac:dyDescent="0.25">
      <c r="A216" s="21"/>
      <c r="B216" s="15" t="s">
        <v>433</v>
      </c>
      <c r="C216" s="6" t="s">
        <v>434</v>
      </c>
      <c r="D216" s="6" t="s">
        <v>1076</v>
      </c>
      <c r="E216" s="10"/>
      <c r="F216" s="10"/>
      <c r="G216" s="10"/>
    </row>
    <row r="217" spans="1:9" s="90" customFormat="1" ht="60" x14ac:dyDescent="0.25">
      <c r="A217" s="39" t="s">
        <v>476</v>
      </c>
      <c r="B217" s="40" t="s">
        <v>478</v>
      </c>
      <c r="C217" s="41"/>
      <c r="D217" s="39"/>
      <c r="E217" s="47"/>
      <c r="F217" s="47"/>
      <c r="G217" s="47"/>
      <c r="H217" s="89" t="s">
        <v>286</v>
      </c>
    </row>
    <row r="218" spans="1:9" s="90" customFormat="1" x14ac:dyDescent="0.25">
      <c r="A218" s="39"/>
      <c r="B218" s="40" t="s">
        <v>186</v>
      </c>
      <c r="C218" s="41"/>
      <c r="D218" s="39"/>
      <c r="E218" s="47"/>
      <c r="F218" s="47"/>
      <c r="G218" s="47"/>
    </row>
    <row r="219" spans="1:9" s="90" customFormat="1" x14ac:dyDescent="0.25">
      <c r="A219" s="39"/>
      <c r="B219" s="43" t="s">
        <v>1333</v>
      </c>
      <c r="C219" s="41"/>
      <c r="D219" s="39" t="s">
        <v>1268</v>
      </c>
      <c r="E219" s="42">
        <v>28.14</v>
      </c>
      <c r="F219" s="42">
        <v>29.02</v>
      </c>
      <c r="G219" s="42"/>
    </row>
    <row r="220" spans="1:9" s="90" customFormat="1" x14ac:dyDescent="0.25">
      <c r="A220" s="39"/>
      <c r="B220" s="43" t="s">
        <v>1335</v>
      </c>
      <c r="C220" s="41"/>
      <c r="D220" s="39" t="s">
        <v>1268</v>
      </c>
      <c r="E220" s="42">
        <v>19.16</v>
      </c>
      <c r="F220" s="42">
        <v>23.92</v>
      </c>
      <c r="G220" s="42"/>
    </row>
    <row r="221" spans="1:9" s="90" customFormat="1" x14ac:dyDescent="0.25">
      <c r="A221" s="39"/>
      <c r="B221" s="40" t="s">
        <v>220</v>
      </c>
      <c r="C221" s="41"/>
      <c r="D221" s="39"/>
      <c r="E221" s="47"/>
      <c r="F221" s="47"/>
      <c r="G221" s="47"/>
    </row>
    <row r="222" spans="1:9" s="90" customFormat="1" x14ac:dyDescent="0.25">
      <c r="A222" s="39"/>
      <c r="B222" s="43" t="s">
        <v>1333</v>
      </c>
      <c r="C222" s="41"/>
      <c r="D222" s="39" t="s">
        <v>1268</v>
      </c>
      <c r="E222" s="42">
        <v>22.89</v>
      </c>
      <c r="F222" s="42">
        <v>25.68</v>
      </c>
      <c r="G222" s="42"/>
    </row>
    <row r="223" spans="1:9" s="90" customFormat="1" x14ac:dyDescent="0.25">
      <c r="A223" s="39"/>
      <c r="B223" s="43" t="s">
        <v>1335</v>
      </c>
      <c r="C223" s="41"/>
      <c r="D223" s="39" t="s">
        <v>1268</v>
      </c>
      <c r="E223" s="42">
        <v>19.16</v>
      </c>
      <c r="F223" s="42">
        <v>15.55</v>
      </c>
      <c r="G223" s="42"/>
    </row>
    <row r="224" spans="1:9" ht="75" x14ac:dyDescent="0.25">
      <c r="A224" s="7"/>
      <c r="B224" s="15" t="s">
        <v>479</v>
      </c>
      <c r="C224" s="6" t="s">
        <v>480</v>
      </c>
      <c r="D224" s="6" t="s">
        <v>1268</v>
      </c>
      <c r="E224" s="10"/>
      <c r="F224" s="10"/>
      <c r="G224" s="10"/>
    </row>
    <row r="225" spans="1:8" x14ac:dyDescent="0.25">
      <c r="A225" s="7"/>
      <c r="B225" s="15" t="s">
        <v>1333</v>
      </c>
      <c r="C225" s="6"/>
      <c r="D225" s="6"/>
      <c r="E225" s="10"/>
      <c r="F225" s="10">
        <v>2816</v>
      </c>
      <c r="G225" s="10"/>
    </row>
    <row r="226" spans="1:8" x14ac:dyDescent="0.25">
      <c r="A226" s="7"/>
      <c r="B226" s="15" t="s">
        <v>1335</v>
      </c>
      <c r="C226" s="6"/>
      <c r="D226" s="6"/>
      <c r="E226" s="10"/>
      <c r="F226" s="10">
        <v>20</v>
      </c>
      <c r="G226" s="10"/>
    </row>
    <row r="227" spans="1:8" ht="90" x14ac:dyDescent="0.25">
      <c r="A227" s="7"/>
      <c r="B227" s="15" t="s">
        <v>481</v>
      </c>
      <c r="C227" s="6" t="s">
        <v>482</v>
      </c>
      <c r="D227" s="6" t="s">
        <v>1268</v>
      </c>
      <c r="E227" s="10"/>
      <c r="F227" s="10"/>
      <c r="G227" s="10"/>
    </row>
    <row r="228" spans="1:8" x14ac:dyDescent="0.25">
      <c r="A228" s="7"/>
      <c r="B228" s="15" t="s">
        <v>1333</v>
      </c>
      <c r="C228" s="6"/>
      <c r="D228" s="6"/>
      <c r="E228" s="10"/>
      <c r="F228" s="10">
        <v>2492</v>
      </c>
      <c r="G228" s="10"/>
    </row>
    <row r="229" spans="1:8" x14ac:dyDescent="0.25">
      <c r="A229" s="7"/>
      <c r="B229" s="15" t="s">
        <v>1335</v>
      </c>
      <c r="C229" s="6"/>
      <c r="D229" s="6"/>
      <c r="E229" s="10"/>
      <c r="F229" s="10">
        <v>13</v>
      </c>
      <c r="G229" s="10"/>
    </row>
    <row r="230" spans="1:8" ht="75" x14ac:dyDescent="0.25">
      <c r="A230" s="7"/>
      <c r="B230" s="15" t="s">
        <v>483</v>
      </c>
      <c r="C230" s="6" t="s">
        <v>484</v>
      </c>
      <c r="D230" s="6" t="s">
        <v>1076</v>
      </c>
      <c r="E230" s="10"/>
      <c r="F230" s="10"/>
      <c r="G230" s="10"/>
    </row>
    <row r="231" spans="1:8" x14ac:dyDescent="0.25">
      <c r="A231" s="7"/>
      <c r="B231" s="15" t="s">
        <v>1333</v>
      </c>
      <c r="C231" s="6"/>
      <c r="D231" s="6"/>
      <c r="E231" s="10"/>
      <c r="F231" s="10">
        <v>10295</v>
      </c>
      <c r="G231" s="10"/>
    </row>
    <row r="232" spans="1:8" x14ac:dyDescent="0.25">
      <c r="A232" s="7"/>
      <c r="B232" s="15" t="s">
        <v>1335</v>
      </c>
      <c r="C232" s="6"/>
      <c r="D232" s="6"/>
      <c r="E232" s="10"/>
      <c r="F232" s="10">
        <v>84</v>
      </c>
      <c r="G232" s="10"/>
    </row>
    <row r="233" spans="1:8" ht="75" x14ac:dyDescent="0.25">
      <c r="A233" s="39" t="s">
        <v>485</v>
      </c>
      <c r="B233" s="40" t="s">
        <v>486</v>
      </c>
      <c r="C233" s="39"/>
      <c r="D233" s="39"/>
      <c r="E233" s="47"/>
      <c r="F233" s="47"/>
      <c r="G233" s="47"/>
      <c r="H233" s="3" t="s">
        <v>286</v>
      </c>
    </row>
    <row r="234" spans="1:8" x14ac:dyDescent="0.25">
      <c r="A234" s="39"/>
      <c r="B234" s="43" t="s">
        <v>1333</v>
      </c>
      <c r="C234" s="39"/>
      <c r="D234" s="39" t="s">
        <v>9</v>
      </c>
      <c r="E234" s="42">
        <v>65.22</v>
      </c>
      <c r="F234" s="42">
        <v>78.569999999999993</v>
      </c>
      <c r="G234" s="42" t="e">
        <f>G237/G240*100</f>
        <v>#DIV/0!</v>
      </c>
      <c r="H234" s="3"/>
    </row>
    <row r="235" spans="1:8" x14ac:dyDescent="0.25">
      <c r="A235" s="39"/>
      <c r="B235" s="43" t="s">
        <v>1335</v>
      </c>
      <c r="C235" s="39"/>
      <c r="D235" s="39" t="s">
        <v>9</v>
      </c>
      <c r="E235" s="42">
        <v>100</v>
      </c>
      <c r="F235" s="42">
        <f>F238/F241*100</f>
        <v>100</v>
      </c>
      <c r="G235" s="42" t="e">
        <f>G238/G241*100</f>
        <v>#DIV/0!</v>
      </c>
      <c r="H235" s="3"/>
    </row>
    <row r="236" spans="1:8" ht="75" x14ac:dyDescent="0.25">
      <c r="A236" s="7"/>
      <c r="B236" s="15" t="s">
        <v>487</v>
      </c>
      <c r="C236" s="6" t="s">
        <v>488</v>
      </c>
      <c r="D236" s="6" t="s">
        <v>1268</v>
      </c>
      <c r="E236" s="10"/>
      <c r="F236" s="10"/>
      <c r="G236" s="10"/>
    </row>
    <row r="237" spans="1:8" x14ac:dyDescent="0.25">
      <c r="A237" s="7"/>
      <c r="B237" s="15" t="s">
        <v>1333</v>
      </c>
      <c r="C237" s="6"/>
      <c r="D237" s="6"/>
      <c r="E237" s="10"/>
      <c r="F237" s="10">
        <v>22</v>
      </c>
      <c r="G237" s="10"/>
    </row>
    <row r="238" spans="1:8" x14ac:dyDescent="0.25">
      <c r="A238" s="7"/>
      <c r="B238" s="15" t="s">
        <v>1335</v>
      </c>
      <c r="C238" s="6"/>
      <c r="D238" s="6"/>
      <c r="E238" s="10"/>
      <c r="F238" s="10">
        <v>2</v>
      </c>
      <c r="G238" s="10"/>
    </row>
    <row r="239" spans="1:8" ht="75" x14ac:dyDescent="0.25">
      <c r="A239" s="7"/>
      <c r="B239" s="15" t="s">
        <v>489</v>
      </c>
      <c r="C239" s="6" t="s">
        <v>490</v>
      </c>
      <c r="D239" s="6" t="s">
        <v>1268</v>
      </c>
      <c r="E239" s="10"/>
      <c r="F239" s="10"/>
      <c r="G239" s="10"/>
    </row>
    <row r="240" spans="1:8" x14ac:dyDescent="0.25">
      <c r="A240" s="7"/>
      <c r="B240" s="15" t="s">
        <v>1333</v>
      </c>
      <c r="C240" s="6"/>
      <c r="D240" s="6"/>
      <c r="E240" s="10"/>
      <c r="F240" s="10">
        <v>24</v>
      </c>
      <c r="G240" s="10"/>
    </row>
    <row r="241" spans="1:8" x14ac:dyDescent="0.25">
      <c r="A241" s="7"/>
      <c r="B241" s="15" t="s">
        <v>1335</v>
      </c>
      <c r="C241" s="6"/>
      <c r="D241" s="6"/>
      <c r="E241" s="10"/>
      <c r="F241" s="10">
        <v>2</v>
      </c>
      <c r="G241" s="10"/>
    </row>
    <row r="242" spans="1:8" ht="120" x14ac:dyDescent="0.25">
      <c r="A242" s="39" t="s">
        <v>1287</v>
      </c>
      <c r="B242" s="40" t="s">
        <v>491</v>
      </c>
      <c r="C242" s="39"/>
      <c r="D242" s="41"/>
      <c r="E242" s="46"/>
      <c r="F242" s="46"/>
      <c r="G242" s="46"/>
    </row>
    <row r="243" spans="1:8" ht="60" x14ac:dyDescent="0.25">
      <c r="A243" s="41"/>
      <c r="B243" s="40" t="s">
        <v>492</v>
      </c>
      <c r="C243" s="39"/>
      <c r="D243" s="39" t="s">
        <v>1267</v>
      </c>
      <c r="E243" s="42">
        <v>17.489999999999998</v>
      </c>
      <c r="F243" s="42" t="e">
        <f>(F244+F245+F246)/(F247+F248+F249+F250+F251+F252+F253+F254)</f>
        <v>#DIV/0!</v>
      </c>
      <c r="G243" s="42" t="e">
        <f>(G244+G245+G246)/(G247+G248+G249+G250+G251+G252+G253+G254)</f>
        <v>#DIV/0!</v>
      </c>
      <c r="H243" s="3" t="s">
        <v>286</v>
      </c>
    </row>
    <row r="244" spans="1:8" ht="45" x14ac:dyDescent="0.25">
      <c r="A244" s="433"/>
      <c r="B244" s="433" t="s">
        <v>493</v>
      </c>
      <c r="C244" s="6" t="s">
        <v>494</v>
      </c>
      <c r="D244" s="6" t="s">
        <v>1267</v>
      </c>
      <c r="E244" s="10"/>
      <c r="F244" s="10">
        <v>0</v>
      </c>
      <c r="G244" s="10"/>
      <c r="H244" s="19"/>
    </row>
    <row r="245" spans="1:8" ht="45" x14ac:dyDescent="0.25">
      <c r="A245" s="434"/>
      <c r="B245" s="434"/>
      <c r="C245" s="6" t="s">
        <v>495</v>
      </c>
      <c r="D245" s="6" t="s">
        <v>1267</v>
      </c>
      <c r="E245" s="10"/>
      <c r="F245" s="10">
        <v>0</v>
      </c>
      <c r="G245" s="10"/>
      <c r="H245" s="19"/>
    </row>
    <row r="246" spans="1:8" ht="45" x14ac:dyDescent="0.25">
      <c r="A246" s="435"/>
      <c r="B246" s="435"/>
      <c r="C246" s="6" t="s">
        <v>496</v>
      </c>
      <c r="D246" s="6" t="s">
        <v>1267</v>
      </c>
      <c r="E246" s="10"/>
      <c r="F246" s="10">
        <v>0</v>
      </c>
      <c r="G246" s="10"/>
    </row>
    <row r="247" spans="1:8" ht="60" x14ac:dyDescent="0.25">
      <c r="A247" s="7"/>
      <c r="B247" s="15" t="s">
        <v>424</v>
      </c>
      <c r="C247" s="6" t="s">
        <v>363</v>
      </c>
      <c r="D247" s="6" t="s">
        <v>1076</v>
      </c>
      <c r="E247" s="10"/>
      <c r="F247" s="10">
        <v>0</v>
      </c>
      <c r="G247" s="10"/>
      <c r="H247" s="19"/>
    </row>
    <row r="248" spans="1:8" ht="60" x14ac:dyDescent="0.25">
      <c r="A248" s="7"/>
      <c r="B248" s="15" t="s">
        <v>425</v>
      </c>
      <c r="C248" s="6" t="s">
        <v>364</v>
      </c>
      <c r="D248" s="6" t="s">
        <v>1076</v>
      </c>
      <c r="E248" s="10"/>
      <c r="F248" s="10">
        <v>0</v>
      </c>
      <c r="G248" s="10"/>
    </row>
    <row r="249" spans="1:8" ht="60" x14ac:dyDescent="0.25">
      <c r="A249" s="7"/>
      <c r="B249" s="15" t="s">
        <v>426</v>
      </c>
      <c r="C249" s="6" t="s">
        <v>427</v>
      </c>
      <c r="D249" s="6" t="s">
        <v>1076</v>
      </c>
      <c r="E249" s="10"/>
      <c r="F249" s="10">
        <v>0</v>
      </c>
      <c r="G249" s="10"/>
    </row>
    <row r="250" spans="1:8" ht="60" x14ac:dyDescent="0.25">
      <c r="A250" s="7"/>
      <c r="B250" s="15" t="s">
        <v>428</v>
      </c>
      <c r="C250" s="6" t="s">
        <v>348</v>
      </c>
      <c r="D250" s="6" t="s">
        <v>1076</v>
      </c>
      <c r="E250" s="10"/>
      <c r="F250" s="10">
        <v>0</v>
      </c>
      <c r="G250" s="10"/>
    </row>
    <row r="251" spans="1:8" ht="60" x14ac:dyDescent="0.25">
      <c r="A251" s="7"/>
      <c r="B251" s="15" t="s">
        <v>429</v>
      </c>
      <c r="C251" s="6" t="s">
        <v>347</v>
      </c>
      <c r="D251" s="6" t="s">
        <v>1076</v>
      </c>
      <c r="E251" s="10"/>
      <c r="F251" s="10">
        <v>0</v>
      </c>
      <c r="G251" s="10"/>
    </row>
    <row r="252" spans="1:8" ht="60" x14ac:dyDescent="0.25">
      <c r="A252" s="7"/>
      <c r="B252" s="15" t="s">
        <v>430</v>
      </c>
      <c r="C252" s="6" t="s">
        <v>349</v>
      </c>
      <c r="D252" s="6" t="s">
        <v>1076</v>
      </c>
      <c r="E252" s="10"/>
      <c r="F252" s="10">
        <v>0</v>
      </c>
      <c r="G252" s="10"/>
    </row>
    <row r="253" spans="1:8" ht="60" x14ac:dyDescent="0.25">
      <c r="A253" s="7"/>
      <c r="B253" s="15" t="s">
        <v>431</v>
      </c>
      <c r="C253" s="6" t="s">
        <v>432</v>
      </c>
      <c r="D253" s="6" t="s">
        <v>1076</v>
      </c>
      <c r="E253" s="10"/>
      <c r="F253" s="10">
        <v>0</v>
      </c>
      <c r="G253" s="10"/>
    </row>
    <row r="254" spans="1:8" ht="60" x14ac:dyDescent="0.25">
      <c r="A254" s="7"/>
      <c r="B254" s="15" t="s">
        <v>433</v>
      </c>
      <c r="C254" s="6" t="s">
        <v>434</v>
      </c>
      <c r="D254" s="6" t="s">
        <v>1076</v>
      </c>
      <c r="E254" s="10"/>
      <c r="F254" s="10">
        <v>0</v>
      </c>
      <c r="G254" s="10"/>
    </row>
    <row r="255" spans="1:8" ht="30" x14ac:dyDescent="0.25">
      <c r="A255" s="41"/>
      <c r="B255" s="40" t="s">
        <v>497</v>
      </c>
      <c r="C255" s="39"/>
      <c r="D255" s="39" t="s">
        <v>1267</v>
      </c>
      <c r="E255" s="42">
        <v>24.07</v>
      </c>
      <c r="F255" s="42">
        <v>26.16</v>
      </c>
      <c r="G255" s="42"/>
      <c r="H255" s="3" t="s">
        <v>46</v>
      </c>
    </row>
    <row r="256" spans="1:8" ht="45" x14ac:dyDescent="0.25">
      <c r="A256" s="433"/>
      <c r="B256" s="433" t="s">
        <v>498</v>
      </c>
      <c r="C256" s="6" t="s">
        <v>499</v>
      </c>
      <c r="D256" s="6" t="s">
        <v>1267</v>
      </c>
      <c r="E256" s="10"/>
      <c r="F256" s="10"/>
      <c r="G256" s="10"/>
      <c r="H256" s="19"/>
    </row>
    <row r="257" spans="1:8" ht="30" x14ac:dyDescent="0.25">
      <c r="A257" s="434"/>
      <c r="B257" s="434"/>
      <c r="C257" s="6" t="s">
        <v>501</v>
      </c>
      <c r="D257" s="6" t="s">
        <v>1267</v>
      </c>
      <c r="E257" s="10"/>
      <c r="F257" s="10"/>
      <c r="G257" s="10"/>
    </row>
    <row r="258" spans="1:8" ht="30" x14ac:dyDescent="0.25">
      <c r="A258" s="434"/>
      <c r="B258" s="434"/>
      <c r="C258" s="6" t="s">
        <v>500</v>
      </c>
      <c r="D258" s="6" t="s">
        <v>1267</v>
      </c>
      <c r="E258" s="10"/>
      <c r="F258" s="10"/>
      <c r="G258" s="10"/>
    </row>
    <row r="259" spans="1:8" ht="75" x14ac:dyDescent="0.25">
      <c r="A259" s="7"/>
      <c r="B259" s="15" t="s">
        <v>502</v>
      </c>
      <c r="C259" s="6" t="s">
        <v>484</v>
      </c>
      <c r="D259" s="6" t="s">
        <v>1076</v>
      </c>
      <c r="E259" s="10"/>
      <c r="F259" s="10"/>
      <c r="G259" s="10"/>
    </row>
    <row r="260" spans="1:8" ht="30" x14ac:dyDescent="0.25">
      <c r="A260" s="44" t="s">
        <v>503</v>
      </c>
      <c r="B260" s="45" t="s">
        <v>504</v>
      </c>
      <c r="C260" s="41"/>
      <c r="D260" s="41"/>
      <c r="E260" s="41"/>
      <c r="F260" s="41"/>
      <c r="G260" s="41"/>
    </row>
    <row r="261" spans="1:8" ht="75" x14ac:dyDescent="0.25">
      <c r="A261" s="39" t="s">
        <v>506</v>
      </c>
      <c r="B261" s="40" t="s">
        <v>505</v>
      </c>
      <c r="C261" s="41"/>
      <c r="D261" s="39"/>
      <c r="E261" s="47"/>
      <c r="F261" s="47"/>
      <c r="G261" s="47"/>
      <c r="H261" s="3" t="s">
        <v>286</v>
      </c>
    </row>
    <row r="262" spans="1:8" x14ac:dyDescent="0.25">
      <c r="A262" s="50"/>
      <c r="B262" s="43" t="s">
        <v>1333</v>
      </c>
      <c r="C262" s="41"/>
      <c r="D262" s="39" t="s">
        <v>9</v>
      </c>
      <c r="E262" s="42">
        <v>50</v>
      </c>
      <c r="F262" s="42">
        <v>53.57</v>
      </c>
      <c r="G262" s="42"/>
      <c r="H262" s="3"/>
    </row>
    <row r="263" spans="1:8" x14ac:dyDescent="0.25">
      <c r="A263" s="50"/>
      <c r="B263" s="43" t="s">
        <v>1335</v>
      </c>
      <c r="C263" s="41"/>
      <c r="D263" s="39" t="s">
        <v>9</v>
      </c>
      <c r="E263" s="42">
        <v>100</v>
      </c>
      <c r="F263" s="42">
        <v>100</v>
      </c>
      <c r="G263" s="42"/>
      <c r="H263" s="3"/>
    </row>
    <row r="264" spans="1:8" ht="61.5" customHeight="1" x14ac:dyDescent="0.25">
      <c r="A264" s="433"/>
      <c r="B264" s="433" t="s">
        <v>507</v>
      </c>
      <c r="C264" s="6" t="s">
        <v>508</v>
      </c>
      <c r="D264" s="6" t="s">
        <v>1268</v>
      </c>
      <c r="E264" s="10"/>
      <c r="F264" s="10"/>
      <c r="G264" s="10"/>
      <c r="H264" s="19"/>
    </row>
    <row r="265" spans="1:8" ht="61.5" customHeight="1" x14ac:dyDescent="0.25">
      <c r="A265" s="435"/>
      <c r="B265" s="435"/>
      <c r="C265" s="6" t="s">
        <v>1332</v>
      </c>
      <c r="D265" s="6" t="s">
        <v>1268</v>
      </c>
      <c r="E265" s="10"/>
      <c r="F265" s="10"/>
      <c r="G265" s="10"/>
    </row>
    <row r="266" spans="1:8" ht="30" x14ac:dyDescent="0.25">
      <c r="A266" s="433"/>
      <c r="B266" s="433" t="s">
        <v>509</v>
      </c>
      <c r="C266" s="6" t="s">
        <v>510</v>
      </c>
      <c r="D266" s="6" t="s">
        <v>1268</v>
      </c>
      <c r="E266" s="10"/>
      <c r="F266" s="10"/>
      <c r="G266" s="10"/>
      <c r="H266" s="19"/>
    </row>
    <row r="267" spans="1:8" ht="30" x14ac:dyDescent="0.25">
      <c r="A267" s="435"/>
      <c r="B267" s="435"/>
      <c r="C267" s="6" t="s">
        <v>511</v>
      </c>
      <c r="D267" s="6" t="s">
        <v>1268</v>
      </c>
      <c r="E267" s="10"/>
      <c r="F267" s="10"/>
      <c r="G267" s="10"/>
    </row>
    <row r="268" spans="1:8" ht="45" x14ac:dyDescent="0.25">
      <c r="A268" s="39" t="s">
        <v>512</v>
      </c>
      <c r="B268" s="40" t="s">
        <v>513</v>
      </c>
      <c r="C268" s="41"/>
      <c r="D268" s="39"/>
      <c r="E268" s="47"/>
      <c r="F268" s="47"/>
      <c r="G268" s="47"/>
      <c r="H268" s="3"/>
    </row>
    <row r="269" spans="1:8" ht="60" x14ac:dyDescent="0.25">
      <c r="A269" s="39"/>
      <c r="B269" s="40" t="s">
        <v>514</v>
      </c>
      <c r="C269" s="41"/>
      <c r="D269" s="39" t="s">
        <v>9</v>
      </c>
      <c r="E269" s="42">
        <v>1.27</v>
      </c>
      <c r="F269" s="42">
        <v>1.86</v>
      </c>
      <c r="G269" s="42"/>
      <c r="H269" s="3" t="s">
        <v>286</v>
      </c>
    </row>
    <row r="270" spans="1:8" ht="30" x14ac:dyDescent="0.25">
      <c r="A270" s="433"/>
      <c r="B270" s="433" t="s">
        <v>515</v>
      </c>
      <c r="C270" s="6" t="s">
        <v>516</v>
      </c>
      <c r="D270" s="6" t="s">
        <v>1076</v>
      </c>
      <c r="E270" s="10"/>
      <c r="F270" s="10"/>
      <c r="G270" s="10"/>
      <c r="H270" s="3"/>
    </row>
    <row r="271" spans="1:8" ht="30" x14ac:dyDescent="0.25">
      <c r="A271" s="434"/>
      <c r="B271" s="434"/>
      <c r="C271" s="6" t="s">
        <v>517</v>
      </c>
      <c r="D271" s="6" t="s">
        <v>1076</v>
      </c>
      <c r="E271" s="10"/>
      <c r="F271" s="10"/>
      <c r="G271" s="10"/>
      <c r="H271" s="3"/>
    </row>
    <row r="272" spans="1:8" ht="45" x14ac:dyDescent="0.25">
      <c r="A272" s="434"/>
      <c r="B272" s="434"/>
      <c r="C272" s="6" t="s">
        <v>518</v>
      </c>
      <c r="D272" s="6" t="s">
        <v>1076</v>
      </c>
      <c r="E272" s="10"/>
      <c r="F272" s="10"/>
      <c r="G272" s="10"/>
      <c r="H272" s="3"/>
    </row>
    <row r="273" spans="1:8" ht="45" x14ac:dyDescent="0.25">
      <c r="A273" s="435"/>
      <c r="B273" s="435"/>
      <c r="C273" s="6" t="s">
        <v>519</v>
      </c>
      <c r="D273" s="6" t="s">
        <v>1076</v>
      </c>
      <c r="E273" s="10"/>
      <c r="F273" s="10"/>
      <c r="G273" s="10"/>
      <c r="H273" s="3"/>
    </row>
    <row r="274" spans="1:8" ht="45" x14ac:dyDescent="0.25">
      <c r="A274" s="433"/>
      <c r="B274" s="433" t="s">
        <v>323</v>
      </c>
      <c r="C274" s="6" t="s">
        <v>324</v>
      </c>
      <c r="D274" s="6" t="s">
        <v>1076</v>
      </c>
      <c r="E274" s="10"/>
      <c r="F274" s="10"/>
      <c r="G274" s="10"/>
      <c r="H274" s="3"/>
    </row>
    <row r="275" spans="1:8" ht="30" x14ac:dyDescent="0.25">
      <c r="A275" s="435"/>
      <c r="B275" s="435"/>
      <c r="C275" s="6" t="s">
        <v>325</v>
      </c>
      <c r="D275" s="6" t="s">
        <v>1076</v>
      </c>
      <c r="E275" s="10"/>
      <c r="F275" s="10"/>
      <c r="G275" s="10"/>
      <c r="H275" s="3"/>
    </row>
    <row r="276" spans="1:8" x14ac:dyDescent="0.25">
      <c r="A276" s="67"/>
      <c r="B276" s="43" t="s">
        <v>1286</v>
      </c>
      <c r="C276" s="39"/>
      <c r="D276" s="39" t="s">
        <v>9</v>
      </c>
      <c r="E276" s="47" t="s">
        <v>1500</v>
      </c>
      <c r="F276" s="42">
        <v>0.69</v>
      </c>
      <c r="G276" s="42"/>
      <c r="H276" s="3"/>
    </row>
    <row r="277" spans="1:8" ht="45" x14ac:dyDescent="0.25">
      <c r="A277" s="39" t="s">
        <v>527</v>
      </c>
      <c r="B277" s="40" t="s">
        <v>520</v>
      </c>
      <c r="C277" s="39"/>
      <c r="D277" s="39"/>
      <c r="E277" s="46"/>
      <c r="F277" s="46"/>
      <c r="G277" s="46"/>
      <c r="H277" s="3"/>
    </row>
    <row r="278" spans="1:8" ht="60" x14ac:dyDescent="0.25">
      <c r="A278" s="67"/>
      <c r="B278" s="40" t="s">
        <v>514</v>
      </c>
      <c r="C278" s="39"/>
      <c r="D278" s="39" t="s">
        <v>9</v>
      </c>
      <c r="E278" s="42">
        <v>0.94</v>
      </c>
      <c r="F278" s="42">
        <v>0.93</v>
      </c>
      <c r="G278" s="42"/>
      <c r="H278" s="3" t="s">
        <v>286</v>
      </c>
    </row>
    <row r="279" spans="1:8" ht="60" customHeight="1" x14ac:dyDescent="0.25">
      <c r="A279" s="433"/>
      <c r="B279" s="433" t="s">
        <v>522</v>
      </c>
      <c r="C279" s="6" t="s">
        <v>523</v>
      </c>
      <c r="D279" s="6" t="s">
        <v>1076</v>
      </c>
      <c r="E279" s="10"/>
      <c r="F279" s="10"/>
      <c r="G279" s="10"/>
      <c r="H279" s="3"/>
    </row>
    <row r="280" spans="1:8" ht="30" x14ac:dyDescent="0.25">
      <c r="A280" s="434"/>
      <c r="B280" s="434"/>
      <c r="C280" s="6" t="s">
        <v>524</v>
      </c>
      <c r="D280" s="6" t="s">
        <v>1076</v>
      </c>
      <c r="E280" s="10"/>
      <c r="F280" s="10"/>
      <c r="G280" s="10"/>
      <c r="H280" s="3"/>
    </row>
    <row r="281" spans="1:8" ht="45" x14ac:dyDescent="0.25">
      <c r="A281" s="434"/>
      <c r="B281" s="434"/>
      <c r="C281" s="6" t="s">
        <v>525</v>
      </c>
      <c r="D281" s="6" t="s">
        <v>1076</v>
      </c>
      <c r="E281" s="10"/>
      <c r="F281" s="10"/>
      <c r="G281" s="10"/>
      <c r="H281" s="3"/>
    </row>
    <row r="282" spans="1:8" ht="45" x14ac:dyDescent="0.25">
      <c r="A282" s="435"/>
      <c r="B282" s="435"/>
      <c r="C282" s="6" t="s">
        <v>526</v>
      </c>
      <c r="D282" s="6" t="s">
        <v>1076</v>
      </c>
      <c r="E282" s="10"/>
      <c r="F282" s="10"/>
      <c r="G282" s="10"/>
      <c r="H282" s="3"/>
    </row>
    <row r="283" spans="1:8" ht="45" x14ac:dyDescent="0.25">
      <c r="A283" s="433"/>
      <c r="B283" s="433" t="s">
        <v>323</v>
      </c>
      <c r="C283" s="6" t="s">
        <v>324</v>
      </c>
      <c r="D283" s="6" t="s">
        <v>1076</v>
      </c>
      <c r="E283" s="10"/>
      <c r="F283" s="10"/>
      <c r="G283" s="10"/>
      <c r="H283" s="3"/>
    </row>
    <row r="284" spans="1:8" ht="30" x14ac:dyDescent="0.25">
      <c r="A284" s="435"/>
      <c r="B284" s="435"/>
      <c r="C284" s="6" t="s">
        <v>325</v>
      </c>
      <c r="D284" s="6" t="s">
        <v>1076</v>
      </c>
      <c r="E284" s="10"/>
      <c r="F284" s="10"/>
      <c r="G284" s="10"/>
      <c r="H284" s="3"/>
    </row>
    <row r="285" spans="1:8" ht="30" x14ac:dyDescent="0.25">
      <c r="A285" s="67"/>
      <c r="B285" s="40" t="s">
        <v>521</v>
      </c>
      <c r="C285" s="39"/>
      <c r="D285" s="39" t="s">
        <v>9</v>
      </c>
      <c r="E285" s="42">
        <v>0.39</v>
      </c>
      <c r="F285" s="42">
        <v>0.62</v>
      </c>
      <c r="G285" s="42"/>
      <c r="H285" s="3" t="s">
        <v>24</v>
      </c>
    </row>
    <row r="286" spans="1:8" ht="60" x14ac:dyDescent="0.25">
      <c r="A286" s="433"/>
      <c r="B286" s="433" t="s">
        <v>528</v>
      </c>
      <c r="C286" s="6" t="s">
        <v>529</v>
      </c>
      <c r="D286" s="6" t="s">
        <v>1076</v>
      </c>
      <c r="E286" s="10"/>
      <c r="F286" s="10"/>
      <c r="G286" s="10"/>
      <c r="H286" s="3"/>
    </row>
    <row r="287" spans="1:8" ht="60" x14ac:dyDescent="0.25">
      <c r="A287" s="435"/>
      <c r="B287" s="435"/>
      <c r="C287" s="6" t="s">
        <v>530</v>
      </c>
      <c r="D287" s="6" t="s">
        <v>1076</v>
      </c>
      <c r="E287" s="10"/>
      <c r="F287" s="10"/>
      <c r="G287" s="10"/>
      <c r="H287" s="3"/>
    </row>
    <row r="288" spans="1:8" ht="60" x14ac:dyDescent="0.25">
      <c r="A288" s="17"/>
      <c r="B288" s="15" t="s">
        <v>329</v>
      </c>
      <c r="C288" s="6" t="s">
        <v>330</v>
      </c>
      <c r="D288" s="6" t="s">
        <v>1076</v>
      </c>
      <c r="E288" s="10"/>
      <c r="F288" s="10"/>
      <c r="G288" s="10"/>
      <c r="H288" s="3"/>
    </row>
    <row r="289" spans="1:8" ht="45" x14ac:dyDescent="0.25">
      <c r="A289" s="94" t="s">
        <v>1536</v>
      </c>
      <c r="B289" s="87" t="s">
        <v>1537</v>
      </c>
      <c r="C289" s="94"/>
      <c r="D289" s="94"/>
      <c r="E289" s="128"/>
      <c r="F289" s="128"/>
      <c r="G289" s="128"/>
      <c r="H289" s="3"/>
    </row>
    <row r="290" spans="1:8" x14ac:dyDescent="0.25">
      <c r="A290" s="129"/>
      <c r="B290" s="87" t="s">
        <v>1538</v>
      </c>
      <c r="C290" s="94"/>
      <c r="D290" s="94" t="s">
        <v>1076</v>
      </c>
      <c r="E290" s="124"/>
      <c r="F290" s="124"/>
      <c r="G290" s="124"/>
      <c r="H290" s="3"/>
    </row>
    <row r="291" spans="1:8" x14ac:dyDescent="0.25">
      <c r="A291" s="129"/>
      <c r="B291" s="87" t="s">
        <v>1539</v>
      </c>
      <c r="C291" s="94"/>
      <c r="D291" s="94" t="s">
        <v>1076</v>
      </c>
      <c r="E291" s="124"/>
      <c r="F291" s="124"/>
      <c r="G291" s="124"/>
      <c r="H291" s="3"/>
    </row>
    <row r="292" spans="1:8" x14ac:dyDescent="0.25">
      <c r="A292" s="129"/>
      <c r="B292" s="87" t="s">
        <v>1540</v>
      </c>
      <c r="C292" s="94"/>
      <c r="D292" s="94" t="s">
        <v>1076</v>
      </c>
      <c r="E292" s="124"/>
      <c r="F292" s="124"/>
      <c r="G292" s="124"/>
      <c r="H292" s="3"/>
    </row>
    <row r="293" spans="1:8" ht="90" x14ac:dyDescent="0.25">
      <c r="A293" s="94" t="s">
        <v>1541</v>
      </c>
      <c r="B293" s="87" t="s">
        <v>1542</v>
      </c>
      <c r="C293" s="94"/>
      <c r="D293" s="94"/>
      <c r="E293" s="124"/>
      <c r="F293" s="124"/>
      <c r="G293" s="124"/>
      <c r="H293" s="3"/>
    </row>
    <row r="294" spans="1:8" x14ac:dyDescent="0.25">
      <c r="A294" s="129"/>
      <c r="B294" s="87" t="s">
        <v>514</v>
      </c>
      <c r="C294" s="94"/>
      <c r="D294" s="94" t="s">
        <v>9</v>
      </c>
      <c r="E294" s="124" t="e">
        <f>E295/E296*100</f>
        <v>#DIV/0!</v>
      </c>
      <c r="F294" s="124" t="e">
        <f>F295/F296*100</f>
        <v>#DIV/0!</v>
      </c>
      <c r="G294" s="124" t="e">
        <f>G295/G296*100</f>
        <v>#DIV/0!</v>
      </c>
      <c r="H294" s="3"/>
    </row>
    <row r="295" spans="1:8" ht="60" x14ac:dyDescent="0.25">
      <c r="A295" s="129"/>
      <c r="B295" s="87" t="s">
        <v>1544</v>
      </c>
      <c r="C295" s="94"/>
      <c r="D295" s="94" t="s">
        <v>1076</v>
      </c>
      <c r="E295" s="124"/>
      <c r="F295" s="124"/>
      <c r="G295" s="124"/>
      <c r="H295" s="3"/>
    </row>
    <row r="296" spans="1:8" ht="45" x14ac:dyDescent="0.25">
      <c r="A296" s="129"/>
      <c r="B296" s="87" t="s">
        <v>1543</v>
      </c>
      <c r="C296" s="94"/>
      <c r="D296" s="94" t="s">
        <v>1076</v>
      </c>
      <c r="E296" s="124"/>
      <c r="F296" s="124"/>
      <c r="G296" s="124"/>
      <c r="H296" s="3"/>
    </row>
    <row r="297" spans="1:8" x14ac:dyDescent="0.25">
      <c r="A297" s="129"/>
      <c r="B297" s="87" t="s">
        <v>1286</v>
      </c>
      <c r="C297" s="94"/>
      <c r="D297" s="94" t="s">
        <v>9</v>
      </c>
      <c r="E297" s="124" t="e">
        <f>E298/E299*100</f>
        <v>#DIV/0!</v>
      </c>
      <c r="F297" s="124" t="e">
        <f>F298/F299*100</f>
        <v>#DIV/0!</v>
      </c>
      <c r="G297" s="124" t="e">
        <f>G298/G299*100</f>
        <v>#DIV/0!</v>
      </c>
      <c r="H297" s="3"/>
    </row>
    <row r="298" spans="1:8" ht="45" x14ac:dyDescent="0.25">
      <c r="A298" s="129"/>
      <c r="B298" s="87" t="s">
        <v>1545</v>
      </c>
      <c r="C298" s="94"/>
      <c r="D298" s="94" t="s">
        <v>1076</v>
      </c>
      <c r="E298" s="124"/>
      <c r="F298" s="124"/>
      <c r="G298" s="124"/>
      <c r="H298" s="3"/>
    </row>
    <row r="299" spans="1:8" ht="45" x14ac:dyDescent="0.25">
      <c r="A299" s="129"/>
      <c r="B299" s="87" t="s">
        <v>1546</v>
      </c>
      <c r="C299" s="94"/>
      <c r="D299" s="94" t="s">
        <v>1076</v>
      </c>
      <c r="E299" s="124"/>
      <c r="F299" s="124"/>
      <c r="G299" s="124"/>
      <c r="H299" s="3"/>
    </row>
    <row r="300" spans="1:8" ht="45" x14ac:dyDescent="0.25">
      <c r="A300" s="44" t="s">
        <v>531</v>
      </c>
      <c r="B300" s="45" t="s">
        <v>532</v>
      </c>
      <c r="C300" s="41"/>
      <c r="D300" s="41"/>
      <c r="E300" s="41"/>
      <c r="F300" s="41"/>
      <c r="G300" s="41"/>
    </row>
    <row r="301" spans="1:8" ht="60" x14ac:dyDescent="0.25">
      <c r="A301" s="39" t="s">
        <v>534</v>
      </c>
      <c r="B301" s="40" t="s">
        <v>533</v>
      </c>
      <c r="C301" s="39"/>
      <c r="D301" s="39"/>
      <c r="E301" s="47"/>
      <c r="F301" s="47"/>
      <c r="G301" s="47"/>
      <c r="H301" s="3" t="s">
        <v>286</v>
      </c>
    </row>
    <row r="302" spans="1:8" x14ac:dyDescent="0.25">
      <c r="A302" s="39"/>
      <c r="B302" s="43" t="s">
        <v>1333</v>
      </c>
      <c r="C302" s="39"/>
      <c r="D302" s="39" t="s">
        <v>9</v>
      </c>
      <c r="E302" s="42">
        <v>51.55</v>
      </c>
      <c r="F302" s="42">
        <v>53.15</v>
      </c>
      <c r="G302" s="42"/>
      <c r="H302" s="3"/>
    </row>
    <row r="303" spans="1:8" x14ac:dyDescent="0.25">
      <c r="A303" s="39"/>
      <c r="B303" s="43" t="s">
        <v>1335</v>
      </c>
      <c r="C303" s="39"/>
      <c r="D303" s="39" t="s">
        <v>9</v>
      </c>
      <c r="E303" s="42">
        <v>0</v>
      </c>
      <c r="F303" s="42">
        <v>0</v>
      </c>
      <c r="G303" s="42"/>
      <c r="H303" s="3"/>
    </row>
    <row r="304" spans="1:8" ht="60" x14ac:dyDescent="0.25">
      <c r="A304" s="7"/>
      <c r="B304" s="15" t="s">
        <v>535</v>
      </c>
      <c r="C304" s="6" t="s">
        <v>536</v>
      </c>
      <c r="D304" s="6" t="s">
        <v>1076</v>
      </c>
      <c r="E304" s="10"/>
      <c r="F304" s="10"/>
      <c r="G304" s="10"/>
    </row>
    <row r="305" spans="1:8" x14ac:dyDescent="0.25">
      <c r="A305" s="7"/>
      <c r="B305" s="15" t="s">
        <v>1333</v>
      </c>
      <c r="C305" s="6"/>
      <c r="D305" s="6"/>
      <c r="E305" s="10"/>
      <c r="F305" s="10">
        <v>8761</v>
      </c>
      <c r="G305" s="10"/>
    </row>
    <row r="306" spans="1:8" x14ac:dyDescent="0.25">
      <c r="A306" s="7"/>
      <c r="B306" s="15" t="s">
        <v>1335</v>
      </c>
      <c r="C306" s="6"/>
      <c r="D306" s="6"/>
      <c r="E306" s="10"/>
      <c r="F306" s="10"/>
      <c r="G306" s="10"/>
    </row>
    <row r="307" spans="1:8" ht="45" x14ac:dyDescent="0.25">
      <c r="A307" s="7"/>
      <c r="B307" s="15" t="s">
        <v>537</v>
      </c>
      <c r="C307" s="6" t="s">
        <v>538</v>
      </c>
      <c r="D307" s="6" t="s">
        <v>1076</v>
      </c>
      <c r="E307" s="10"/>
      <c r="F307" s="10"/>
      <c r="G307" s="10"/>
    </row>
    <row r="308" spans="1:8" x14ac:dyDescent="0.25">
      <c r="A308" s="7"/>
      <c r="B308" s="15" t="s">
        <v>1333</v>
      </c>
      <c r="C308" s="6"/>
      <c r="D308" s="6"/>
      <c r="E308" s="10"/>
      <c r="F308" s="10">
        <v>13790</v>
      </c>
      <c r="G308" s="10"/>
    </row>
    <row r="309" spans="1:8" x14ac:dyDescent="0.25">
      <c r="A309" s="7"/>
      <c r="B309" s="15" t="s">
        <v>1335</v>
      </c>
      <c r="C309" s="6"/>
      <c r="D309" s="6"/>
      <c r="E309" s="10"/>
      <c r="F309" s="10"/>
      <c r="G309" s="10"/>
    </row>
    <row r="310" spans="1:8" ht="45" x14ac:dyDescent="0.25">
      <c r="A310" s="56" t="s">
        <v>539</v>
      </c>
      <c r="B310" s="57" t="s">
        <v>540</v>
      </c>
      <c r="C310" s="56"/>
      <c r="D310" s="56"/>
      <c r="E310" s="69"/>
      <c r="F310" s="69"/>
      <c r="G310" s="69"/>
      <c r="H310" s="3" t="s">
        <v>106</v>
      </c>
    </row>
    <row r="311" spans="1:8" x14ac:dyDescent="0.25">
      <c r="A311" s="55"/>
      <c r="B311" s="57" t="s">
        <v>514</v>
      </c>
      <c r="C311" s="56"/>
      <c r="D311" s="56" t="s">
        <v>9</v>
      </c>
      <c r="E311" s="48" t="e">
        <f>E312/E313*100</f>
        <v>#DIV/0!</v>
      </c>
      <c r="F311" s="48" t="e">
        <f>F312/F313*100</f>
        <v>#DIV/0!</v>
      </c>
      <c r="G311" s="48" t="e">
        <f>G312/G313*100</f>
        <v>#DIV/0!</v>
      </c>
      <c r="H311" s="3"/>
    </row>
    <row r="312" spans="1:8" ht="60" x14ac:dyDescent="0.25">
      <c r="A312" s="7"/>
      <c r="B312" s="15" t="s">
        <v>541</v>
      </c>
      <c r="C312" s="6" t="s">
        <v>542</v>
      </c>
      <c r="D312" s="6" t="s">
        <v>1076</v>
      </c>
      <c r="E312" s="10"/>
      <c r="F312" s="10"/>
      <c r="G312" s="10"/>
      <c r="H312" s="3"/>
    </row>
    <row r="313" spans="1:8" ht="60" x14ac:dyDescent="0.25">
      <c r="A313" s="7"/>
      <c r="B313" s="15" t="s">
        <v>543</v>
      </c>
      <c r="C313" s="6" t="s">
        <v>542</v>
      </c>
      <c r="D313" s="6" t="s">
        <v>1076</v>
      </c>
      <c r="E313" s="10"/>
      <c r="F313" s="10"/>
      <c r="G313" s="10"/>
      <c r="H313" s="3"/>
    </row>
    <row r="314" spans="1:8" x14ac:dyDescent="0.25">
      <c r="A314" s="55"/>
      <c r="B314" s="57" t="s">
        <v>521</v>
      </c>
      <c r="C314" s="56"/>
      <c r="D314" s="56" t="s">
        <v>9</v>
      </c>
      <c r="E314" s="48" t="e">
        <f>E315/E316*100</f>
        <v>#DIV/0!</v>
      </c>
      <c r="F314" s="48" t="e">
        <f>F315/F316*100</f>
        <v>#DIV/0!</v>
      </c>
      <c r="G314" s="48" t="e">
        <f>G315/G316*100</f>
        <v>#DIV/0!</v>
      </c>
      <c r="H314" s="3"/>
    </row>
    <row r="315" spans="1:8" ht="60" x14ac:dyDescent="0.25">
      <c r="A315" s="7"/>
      <c r="B315" s="15" t="s">
        <v>544</v>
      </c>
      <c r="C315" s="6" t="s">
        <v>542</v>
      </c>
      <c r="D315" s="6" t="s">
        <v>1076</v>
      </c>
      <c r="E315" s="10"/>
      <c r="F315" s="10"/>
      <c r="G315" s="10"/>
      <c r="H315" s="3"/>
    </row>
    <row r="316" spans="1:8" ht="60" x14ac:dyDescent="0.25">
      <c r="A316" s="7"/>
      <c r="B316" s="15" t="s">
        <v>545</v>
      </c>
      <c r="C316" s="6" t="s">
        <v>542</v>
      </c>
      <c r="D316" s="6" t="s">
        <v>1076</v>
      </c>
      <c r="E316" s="10"/>
      <c r="F316" s="10"/>
      <c r="G316" s="10"/>
    </row>
    <row r="317" spans="1:8" ht="75" x14ac:dyDescent="0.25">
      <c r="A317" s="94" t="s">
        <v>1547</v>
      </c>
      <c r="B317" s="87" t="s">
        <v>1548</v>
      </c>
      <c r="C317" s="94"/>
      <c r="D317" s="94"/>
      <c r="E317" s="124"/>
      <c r="F317" s="124"/>
      <c r="G317" s="124"/>
    </row>
    <row r="318" spans="1:8" x14ac:dyDescent="0.25">
      <c r="A318" s="94"/>
      <c r="B318" s="87" t="s">
        <v>1549</v>
      </c>
      <c r="C318" s="94"/>
      <c r="D318" s="94" t="s">
        <v>9</v>
      </c>
      <c r="E318" s="124" t="e">
        <f>E319/E320*100</f>
        <v>#DIV/0!</v>
      </c>
      <c r="F318" s="124" t="e">
        <f t="shared" ref="F318:G318" si="3">F319/F320*100</f>
        <v>#DIV/0!</v>
      </c>
      <c r="G318" s="124" t="e">
        <f t="shared" si="3"/>
        <v>#DIV/0!</v>
      </c>
    </row>
    <row r="319" spans="1:8" ht="45" x14ac:dyDescent="0.25">
      <c r="A319" s="94"/>
      <c r="B319" s="87" t="s">
        <v>1550</v>
      </c>
      <c r="C319" s="94"/>
      <c r="D319" s="94" t="s">
        <v>1076</v>
      </c>
      <c r="E319" s="124"/>
      <c r="F319" s="124"/>
      <c r="G319" s="124"/>
    </row>
    <row r="320" spans="1:8" ht="45" x14ac:dyDescent="0.25">
      <c r="A320" s="94"/>
      <c r="B320" s="87" t="s">
        <v>1551</v>
      </c>
      <c r="C320" s="94"/>
      <c r="D320" s="94" t="s">
        <v>1076</v>
      </c>
      <c r="E320" s="124"/>
      <c r="F320" s="124"/>
      <c r="G320" s="124"/>
    </row>
    <row r="321" spans="1:8" x14ac:dyDescent="0.25">
      <c r="A321" s="94"/>
      <c r="B321" s="87" t="s">
        <v>1552</v>
      </c>
      <c r="C321" s="94"/>
      <c r="D321" s="94" t="s">
        <v>9</v>
      </c>
      <c r="E321" s="124" t="e">
        <f>E322/E323*100</f>
        <v>#DIV/0!</v>
      </c>
      <c r="F321" s="124" t="e">
        <f t="shared" ref="F321" si="4">F322/F323*100</f>
        <v>#DIV/0!</v>
      </c>
      <c r="G321" s="124" t="e">
        <f t="shared" ref="G321" si="5">G322/G323*100</f>
        <v>#DIV/0!</v>
      </c>
    </row>
    <row r="322" spans="1:8" ht="45" x14ac:dyDescent="0.25">
      <c r="A322" s="94"/>
      <c r="B322" s="87" t="s">
        <v>1553</v>
      </c>
      <c r="C322" s="94"/>
      <c r="D322" s="94" t="s">
        <v>1076</v>
      </c>
      <c r="E322" s="124"/>
      <c r="F322" s="124"/>
      <c r="G322" s="124"/>
    </row>
    <row r="323" spans="1:8" ht="30" x14ac:dyDescent="0.25">
      <c r="A323" s="94"/>
      <c r="B323" s="87" t="s">
        <v>1554</v>
      </c>
      <c r="C323" s="94"/>
      <c r="D323" s="94" t="s">
        <v>1076</v>
      </c>
      <c r="E323" s="124"/>
      <c r="F323" s="124"/>
      <c r="G323" s="124"/>
    </row>
    <row r="324" spans="1:8" ht="60" x14ac:dyDescent="0.25">
      <c r="A324" s="44" t="s">
        <v>546</v>
      </c>
      <c r="B324" s="45" t="s">
        <v>547</v>
      </c>
      <c r="C324" s="41"/>
      <c r="D324" s="41"/>
      <c r="E324" s="41"/>
      <c r="F324" s="41"/>
      <c r="G324" s="41"/>
    </row>
    <row r="325" spans="1:8" ht="60" x14ac:dyDescent="0.25">
      <c r="A325" s="79" t="s">
        <v>548</v>
      </c>
      <c r="B325" s="114" t="s">
        <v>1288</v>
      </c>
      <c r="C325" s="115"/>
      <c r="D325" s="79"/>
      <c r="E325" s="48"/>
      <c r="F325" s="48"/>
      <c r="G325" s="48"/>
      <c r="H325" s="3" t="s">
        <v>564</v>
      </c>
    </row>
    <row r="326" spans="1:8" x14ac:dyDescent="0.25">
      <c r="A326" s="56"/>
      <c r="B326" s="114" t="s">
        <v>1290</v>
      </c>
      <c r="C326" s="79"/>
      <c r="D326" s="79" t="s">
        <v>9</v>
      </c>
      <c r="E326" s="116" t="e">
        <f>E327/E328*100</f>
        <v>#DIV/0!</v>
      </c>
      <c r="F326" s="116">
        <f>F327/F328*100</f>
        <v>100</v>
      </c>
      <c r="G326" s="116" t="e">
        <f>G327/G328*100</f>
        <v>#DIV/0!</v>
      </c>
      <c r="H326" s="3"/>
    </row>
    <row r="327" spans="1:8" ht="60" x14ac:dyDescent="0.25">
      <c r="A327" s="6"/>
      <c r="B327" s="15" t="s">
        <v>549</v>
      </c>
      <c r="C327" s="6" t="s">
        <v>550</v>
      </c>
      <c r="D327" s="11" t="s">
        <v>1268</v>
      </c>
      <c r="E327" s="10"/>
      <c r="F327" s="10">
        <v>8</v>
      </c>
      <c r="G327" s="10"/>
      <c r="H327" s="3"/>
    </row>
    <row r="328" spans="1:8" ht="75" x14ac:dyDescent="0.25">
      <c r="A328" s="7"/>
      <c r="B328" s="15" t="s">
        <v>551</v>
      </c>
      <c r="C328" s="6" t="s">
        <v>552</v>
      </c>
      <c r="D328" s="11" t="s">
        <v>1268</v>
      </c>
      <c r="E328" s="10"/>
      <c r="F328" s="10">
        <v>8</v>
      </c>
      <c r="G328" s="10"/>
    </row>
    <row r="329" spans="1:8" ht="45" x14ac:dyDescent="0.25">
      <c r="A329" s="41"/>
      <c r="B329" s="40" t="s">
        <v>554</v>
      </c>
      <c r="C329" s="39"/>
      <c r="D329" s="39" t="s">
        <v>9</v>
      </c>
      <c r="E329" s="47" t="e">
        <f>E330/E331*100</f>
        <v>#DIV/0!</v>
      </c>
      <c r="F329" s="47" t="e">
        <f>F330/F331*100</f>
        <v>#DIV/0!</v>
      </c>
      <c r="G329" s="47" t="e">
        <f>G330/G331*100</f>
        <v>#DIV/0!</v>
      </c>
    </row>
    <row r="330" spans="1:8" ht="60" x14ac:dyDescent="0.25">
      <c r="A330" s="7"/>
      <c r="B330" s="15" t="s">
        <v>555</v>
      </c>
      <c r="C330" s="6" t="s">
        <v>550</v>
      </c>
      <c r="D330" s="11" t="s">
        <v>1268</v>
      </c>
      <c r="E330" s="10"/>
      <c r="F330" s="10">
        <v>0</v>
      </c>
      <c r="G330" s="10"/>
    </row>
    <row r="331" spans="1:8" ht="60" x14ac:dyDescent="0.25">
      <c r="A331" s="7"/>
      <c r="B331" s="92" t="s">
        <v>556</v>
      </c>
      <c r="C331" s="72" t="s">
        <v>552</v>
      </c>
      <c r="D331" s="75" t="s">
        <v>1268</v>
      </c>
      <c r="E331" s="10"/>
      <c r="F331" s="10">
        <v>0</v>
      </c>
      <c r="G331" s="10"/>
    </row>
    <row r="332" spans="1:8" x14ac:dyDescent="0.25">
      <c r="A332" s="55"/>
      <c r="B332" s="114" t="s">
        <v>1289</v>
      </c>
      <c r="C332" s="79"/>
      <c r="D332" s="115"/>
      <c r="E332" s="69"/>
      <c r="F332" s="69"/>
      <c r="G332" s="69"/>
    </row>
    <row r="333" spans="1:8" x14ac:dyDescent="0.25">
      <c r="A333" s="55"/>
      <c r="B333" s="98" t="s">
        <v>553</v>
      </c>
      <c r="C333" s="79"/>
      <c r="D333" s="79"/>
      <c r="E333" s="48"/>
      <c r="F333" s="48"/>
      <c r="G333" s="48"/>
    </row>
    <row r="334" spans="1:8" x14ac:dyDescent="0.25">
      <c r="A334" s="55"/>
      <c r="B334" s="40" t="s">
        <v>1333</v>
      </c>
      <c r="C334" s="56"/>
      <c r="D334" s="79" t="s">
        <v>9</v>
      </c>
      <c r="E334" s="116" t="e">
        <f t="shared" ref="E334:E335" si="6">E337/E340*100</f>
        <v>#DIV/0!</v>
      </c>
      <c r="F334" s="76">
        <v>117.14</v>
      </c>
      <c r="G334" s="76" t="e">
        <f t="shared" ref="F334:G335" si="7">G337/G340*100</f>
        <v>#DIV/0!</v>
      </c>
    </row>
    <row r="335" spans="1:8" x14ac:dyDescent="0.25">
      <c r="A335" s="55"/>
      <c r="B335" s="40" t="s">
        <v>1335</v>
      </c>
      <c r="C335" s="56"/>
      <c r="D335" s="79" t="s">
        <v>9</v>
      </c>
      <c r="E335" s="116" t="e">
        <f t="shared" si="6"/>
        <v>#DIV/0!</v>
      </c>
      <c r="F335" s="76">
        <f t="shared" si="7"/>
        <v>100</v>
      </c>
      <c r="G335" s="76" t="e">
        <f t="shared" si="7"/>
        <v>#DIV/0!</v>
      </c>
    </row>
    <row r="336" spans="1:8" ht="60" x14ac:dyDescent="0.25">
      <c r="A336" s="7"/>
      <c r="B336" s="15" t="s">
        <v>557</v>
      </c>
      <c r="C336" s="6" t="s">
        <v>558</v>
      </c>
      <c r="D336" s="11" t="s">
        <v>1268</v>
      </c>
      <c r="E336" s="10"/>
      <c r="F336" s="10"/>
      <c r="G336" s="10"/>
    </row>
    <row r="337" spans="1:8" x14ac:dyDescent="0.25">
      <c r="A337" s="7"/>
      <c r="B337" s="15" t="s">
        <v>1333</v>
      </c>
      <c r="C337" s="6"/>
      <c r="D337" s="11"/>
      <c r="E337" s="10"/>
      <c r="F337" s="10">
        <v>24</v>
      </c>
      <c r="G337" s="10"/>
    </row>
    <row r="338" spans="1:8" x14ac:dyDescent="0.25">
      <c r="A338" s="7"/>
      <c r="B338" s="15" t="s">
        <v>1335</v>
      </c>
      <c r="C338" s="6"/>
      <c r="D338" s="11"/>
      <c r="E338" s="10"/>
      <c r="F338" s="10">
        <v>2</v>
      </c>
      <c r="G338" s="10"/>
    </row>
    <row r="339" spans="1:8" ht="60" x14ac:dyDescent="0.25">
      <c r="A339" s="7"/>
      <c r="B339" s="15" t="s">
        <v>559</v>
      </c>
      <c r="C339" s="6" t="s">
        <v>560</v>
      </c>
      <c r="D339" s="11" t="s">
        <v>1268</v>
      </c>
      <c r="E339" s="10"/>
      <c r="F339" s="10"/>
      <c r="G339" s="10"/>
    </row>
    <row r="340" spans="1:8" x14ac:dyDescent="0.25">
      <c r="A340" s="7"/>
      <c r="B340" s="15" t="s">
        <v>1333</v>
      </c>
      <c r="C340" s="6"/>
      <c r="D340" s="11"/>
      <c r="E340" s="10"/>
      <c r="F340" s="10">
        <v>21</v>
      </c>
      <c r="G340" s="10"/>
    </row>
    <row r="341" spans="1:8" x14ac:dyDescent="0.25">
      <c r="A341" s="7"/>
      <c r="B341" s="15" t="s">
        <v>1335</v>
      </c>
      <c r="C341" s="6"/>
      <c r="D341" s="11"/>
      <c r="E341" s="10"/>
      <c r="F341" s="10">
        <v>2</v>
      </c>
      <c r="G341" s="10"/>
    </row>
    <row r="342" spans="1:8" ht="45" x14ac:dyDescent="0.25">
      <c r="A342" s="7"/>
      <c r="B342" s="15" t="s">
        <v>561</v>
      </c>
      <c r="C342" s="6"/>
      <c r="D342" s="11" t="s">
        <v>9</v>
      </c>
      <c r="E342" s="8"/>
      <c r="F342" s="8"/>
      <c r="G342" s="8"/>
    </row>
    <row r="343" spans="1:8" x14ac:dyDescent="0.25">
      <c r="A343" s="41"/>
      <c r="B343" s="40" t="s">
        <v>1333</v>
      </c>
      <c r="C343" s="39"/>
      <c r="D343" s="39"/>
      <c r="E343" s="47" t="e">
        <f t="shared" ref="E343:G344" si="8">E346/E349*100</f>
        <v>#DIV/0!</v>
      </c>
      <c r="F343" s="47">
        <f t="shared" si="8"/>
        <v>100</v>
      </c>
      <c r="G343" s="47" t="e">
        <f t="shared" si="8"/>
        <v>#DIV/0!</v>
      </c>
    </row>
    <row r="344" spans="1:8" x14ac:dyDescent="0.25">
      <c r="A344" s="41"/>
      <c r="B344" s="40" t="s">
        <v>1335</v>
      </c>
      <c r="C344" s="39"/>
      <c r="D344" s="39"/>
      <c r="E344" s="47" t="e">
        <f t="shared" si="8"/>
        <v>#DIV/0!</v>
      </c>
      <c r="F344" s="47" t="e">
        <f t="shared" si="8"/>
        <v>#DIV/0!</v>
      </c>
      <c r="G344" s="47" t="e">
        <f t="shared" si="8"/>
        <v>#DIV/0!</v>
      </c>
    </row>
    <row r="345" spans="1:8" ht="60" x14ac:dyDescent="0.25">
      <c r="A345" s="7"/>
      <c r="B345" s="15" t="s">
        <v>562</v>
      </c>
      <c r="C345" s="6" t="s">
        <v>558</v>
      </c>
      <c r="D345" s="11" t="s">
        <v>1268</v>
      </c>
      <c r="E345" s="10"/>
      <c r="F345" s="10"/>
      <c r="G345" s="10"/>
    </row>
    <row r="346" spans="1:8" x14ac:dyDescent="0.25">
      <c r="A346" s="7"/>
      <c r="B346" s="15" t="s">
        <v>1333</v>
      </c>
      <c r="C346" s="6"/>
      <c r="D346" s="11"/>
      <c r="E346" s="10"/>
      <c r="F346" s="10">
        <v>9</v>
      </c>
      <c r="G346" s="10"/>
    </row>
    <row r="347" spans="1:8" x14ac:dyDescent="0.25">
      <c r="A347" s="7"/>
      <c r="B347" s="15" t="s">
        <v>1335</v>
      </c>
      <c r="C347" s="6"/>
      <c r="D347" s="11"/>
      <c r="E347" s="10"/>
      <c r="F347" s="10">
        <v>0</v>
      </c>
      <c r="G347" s="10"/>
    </row>
    <row r="348" spans="1:8" ht="60" x14ac:dyDescent="0.25">
      <c r="A348" s="7"/>
      <c r="B348" s="15" t="s">
        <v>563</v>
      </c>
      <c r="C348" s="6" t="s">
        <v>560</v>
      </c>
      <c r="D348" s="11" t="s">
        <v>1268</v>
      </c>
      <c r="E348" s="10"/>
      <c r="F348" s="10"/>
      <c r="G348" s="10"/>
    </row>
    <row r="349" spans="1:8" x14ac:dyDescent="0.25">
      <c r="A349" s="7"/>
      <c r="B349" s="15" t="s">
        <v>1333</v>
      </c>
      <c r="C349" s="6"/>
      <c r="D349" s="11"/>
      <c r="E349" s="10"/>
      <c r="F349" s="10">
        <v>9</v>
      </c>
      <c r="G349" s="10"/>
    </row>
    <row r="350" spans="1:8" x14ac:dyDescent="0.25">
      <c r="A350" s="7"/>
      <c r="B350" s="15" t="s">
        <v>1335</v>
      </c>
      <c r="C350" s="6"/>
      <c r="D350" s="11"/>
      <c r="E350" s="10"/>
      <c r="F350" s="10">
        <v>0</v>
      </c>
      <c r="G350" s="10"/>
    </row>
    <row r="351" spans="1:8" ht="60" x14ac:dyDescent="0.25">
      <c r="A351" s="44" t="s">
        <v>565</v>
      </c>
      <c r="B351" s="45" t="s">
        <v>566</v>
      </c>
      <c r="C351" s="41"/>
      <c r="D351" s="41"/>
      <c r="E351" s="41"/>
      <c r="F351" s="41"/>
      <c r="G351" s="41"/>
    </row>
    <row r="352" spans="1:8" ht="90" x14ac:dyDescent="0.25">
      <c r="A352" s="39" t="s">
        <v>568</v>
      </c>
      <c r="B352" s="40" t="s">
        <v>567</v>
      </c>
      <c r="C352" s="41"/>
      <c r="D352" s="39"/>
      <c r="E352" s="47"/>
      <c r="F352" s="47"/>
      <c r="G352" s="47"/>
      <c r="H352" s="3" t="s">
        <v>582</v>
      </c>
    </row>
    <row r="353" spans="1:7" x14ac:dyDescent="0.25">
      <c r="A353" s="41"/>
      <c r="B353" s="40" t="s">
        <v>553</v>
      </c>
      <c r="C353" s="39"/>
      <c r="D353" s="39"/>
      <c r="E353" s="47"/>
      <c r="F353" s="47"/>
      <c r="G353" s="47"/>
    </row>
    <row r="354" spans="1:7" x14ac:dyDescent="0.25">
      <c r="A354" s="41"/>
      <c r="B354" s="43" t="s">
        <v>1333</v>
      </c>
      <c r="C354" s="39"/>
      <c r="D354" s="39" t="s">
        <v>9</v>
      </c>
      <c r="E354" s="42">
        <v>2.4500000000000002</v>
      </c>
      <c r="F354" s="42">
        <f>(F357+F360)/(F363+F366)*100</f>
        <v>8.1110878237116921</v>
      </c>
      <c r="G354" s="42" t="e">
        <f>(G357+G360)/(G363+G366)*100</f>
        <v>#DIV/0!</v>
      </c>
    </row>
    <row r="355" spans="1:7" x14ac:dyDescent="0.25">
      <c r="A355" s="41"/>
      <c r="B355" s="43" t="s">
        <v>1335</v>
      </c>
      <c r="C355" s="39"/>
      <c r="D355" s="39" t="s">
        <v>9</v>
      </c>
      <c r="E355" s="42">
        <v>0</v>
      </c>
      <c r="F355" s="42" t="e">
        <f>(F358+F361)/(F364+F367)*100</f>
        <v>#DIV/0!</v>
      </c>
      <c r="G355" s="42" t="e">
        <f>(G358+G361)/(G364+G367)*100</f>
        <v>#DIV/0!</v>
      </c>
    </row>
    <row r="356" spans="1:7" ht="75" x14ac:dyDescent="0.25">
      <c r="A356" s="7"/>
      <c r="B356" s="15" t="s">
        <v>569</v>
      </c>
      <c r="C356" s="6" t="s">
        <v>570</v>
      </c>
      <c r="D356" s="11" t="s">
        <v>1270</v>
      </c>
      <c r="E356" s="10"/>
      <c r="F356" s="10"/>
      <c r="G356" s="10"/>
    </row>
    <row r="357" spans="1:7" x14ac:dyDescent="0.25">
      <c r="A357" s="7"/>
      <c r="B357" s="15" t="s">
        <v>1333</v>
      </c>
      <c r="C357" s="6"/>
      <c r="D357" s="11"/>
      <c r="E357" s="10"/>
      <c r="F357" s="10">
        <v>0</v>
      </c>
      <c r="G357" s="10"/>
    </row>
    <row r="358" spans="1:7" x14ac:dyDescent="0.25">
      <c r="A358" s="7"/>
      <c r="B358" s="15" t="s">
        <v>1335</v>
      </c>
      <c r="C358" s="6"/>
      <c r="D358" s="11"/>
      <c r="E358" s="10"/>
      <c r="F358" s="10">
        <v>0</v>
      </c>
      <c r="G358" s="10"/>
    </row>
    <row r="359" spans="1:7" ht="105" x14ac:dyDescent="0.25">
      <c r="A359" s="7"/>
      <c r="B359" s="15" t="s">
        <v>571</v>
      </c>
      <c r="C359" s="6" t="s">
        <v>572</v>
      </c>
      <c r="D359" s="11" t="s">
        <v>1270</v>
      </c>
      <c r="E359" s="10"/>
      <c r="F359" s="10"/>
      <c r="G359" s="10"/>
    </row>
    <row r="360" spans="1:7" x14ac:dyDescent="0.25">
      <c r="A360" s="7"/>
      <c r="B360" s="15" t="s">
        <v>1333</v>
      </c>
      <c r="C360" s="6"/>
      <c r="D360" s="11"/>
      <c r="E360" s="10"/>
      <c r="F360" s="8">
        <v>65558.5</v>
      </c>
      <c r="G360" s="8"/>
    </row>
    <row r="361" spans="1:7" x14ac:dyDescent="0.25">
      <c r="A361" s="7"/>
      <c r="B361" s="15" t="s">
        <v>1335</v>
      </c>
      <c r="C361" s="6"/>
      <c r="D361" s="11"/>
      <c r="E361" s="10"/>
      <c r="F361" s="10">
        <v>0</v>
      </c>
      <c r="G361" s="10"/>
    </row>
    <row r="362" spans="1:7" ht="60" x14ac:dyDescent="0.25">
      <c r="A362" s="7"/>
      <c r="B362" s="15" t="s">
        <v>574</v>
      </c>
      <c r="C362" s="6" t="s">
        <v>575</v>
      </c>
      <c r="D362" s="11" t="s">
        <v>1270</v>
      </c>
      <c r="E362" s="10"/>
      <c r="F362" s="10"/>
      <c r="G362" s="10"/>
    </row>
    <row r="363" spans="1:7" x14ac:dyDescent="0.25">
      <c r="A363" s="7"/>
      <c r="B363" s="15" t="s">
        <v>1333</v>
      </c>
      <c r="C363" s="6"/>
      <c r="D363" s="11"/>
      <c r="E363" s="10"/>
      <c r="F363" s="10">
        <v>0</v>
      </c>
      <c r="G363" s="10"/>
    </row>
    <row r="364" spans="1:7" x14ac:dyDescent="0.25">
      <c r="A364" s="7"/>
      <c r="B364" s="15" t="s">
        <v>1335</v>
      </c>
      <c r="C364" s="6"/>
      <c r="D364" s="11"/>
      <c r="E364" s="10"/>
      <c r="F364" s="10">
        <v>0</v>
      </c>
      <c r="G364" s="10"/>
    </row>
    <row r="365" spans="1:7" ht="90" x14ac:dyDescent="0.25">
      <c r="A365" s="7"/>
      <c r="B365" s="15" t="s">
        <v>576</v>
      </c>
      <c r="C365" s="6" t="s">
        <v>581</v>
      </c>
      <c r="D365" s="11" t="s">
        <v>1270</v>
      </c>
      <c r="E365" s="10"/>
      <c r="F365" s="10"/>
      <c r="G365" s="10"/>
    </row>
    <row r="366" spans="1:7" x14ac:dyDescent="0.25">
      <c r="A366" s="7"/>
      <c r="B366" s="15" t="s">
        <v>1333</v>
      </c>
      <c r="C366" s="6"/>
      <c r="D366" s="11"/>
      <c r="E366" s="10"/>
      <c r="F366" s="8">
        <v>808257.8</v>
      </c>
      <c r="G366" s="8"/>
    </row>
    <row r="367" spans="1:7" x14ac:dyDescent="0.25">
      <c r="A367" s="7"/>
      <c r="B367" s="15" t="s">
        <v>1335</v>
      </c>
      <c r="C367" s="6"/>
      <c r="D367" s="11"/>
      <c r="E367" s="10"/>
      <c r="F367" s="10">
        <v>0</v>
      </c>
      <c r="G367" s="10"/>
    </row>
    <row r="368" spans="1:7" x14ac:dyDescent="0.25">
      <c r="A368" s="41"/>
      <c r="B368" s="40" t="s">
        <v>573</v>
      </c>
      <c r="C368" s="39"/>
      <c r="D368" s="39"/>
      <c r="E368" s="47"/>
      <c r="F368" s="47"/>
      <c r="G368" s="47"/>
    </row>
    <row r="369" spans="1:8" x14ac:dyDescent="0.25">
      <c r="A369" s="41"/>
      <c r="B369" s="43" t="s">
        <v>1333</v>
      </c>
      <c r="C369" s="39"/>
      <c r="D369" s="39" t="s">
        <v>9</v>
      </c>
      <c r="E369" s="42">
        <v>0</v>
      </c>
      <c r="F369" s="42">
        <f>F372/F375*100</f>
        <v>0</v>
      </c>
      <c r="G369" s="42" t="e">
        <f>G372/G375*100</f>
        <v>#DIV/0!</v>
      </c>
    </row>
    <row r="370" spans="1:8" x14ac:dyDescent="0.25">
      <c r="A370" s="41"/>
      <c r="B370" s="43" t="s">
        <v>1335</v>
      </c>
      <c r="C370" s="39"/>
      <c r="D370" s="39" t="s">
        <v>9</v>
      </c>
      <c r="E370" s="42">
        <v>0</v>
      </c>
      <c r="F370" s="42">
        <f>F373/F376*100</f>
        <v>100</v>
      </c>
      <c r="G370" s="42" t="e">
        <f>G373/G376*100</f>
        <v>#DIV/0!</v>
      </c>
    </row>
    <row r="371" spans="1:8" ht="90" x14ac:dyDescent="0.25">
      <c r="A371" s="7"/>
      <c r="B371" s="15" t="s">
        <v>578</v>
      </c>
      <c r="C371" s="6" t="s">
        <v>579</v>
      </c>
      <c r="D371" s="11" t="s">
        <v>1270</v>
      </c>
      <c r="E371" s="10"/>
      <c r="F371" s="10"/>
      <c r="G371" s="10"/>
    </row>
    <row r="372" spans="1:8" x14ac:dyDescent="0.25">
      <c r="A372" s="7"/>
      <c r="B372" s="15" t="s">
        <v>1333</v>
      </c>
      <c r="C372" s="6"/>
      <c r="D372" s="11"/>
      <c r="E372" s="10"/>
      <c r="F372" s="8">
        <v>0</v>
      </c>
      <c r="G372" s="8"/>
    </row>
    <row r="373" spans="1:8" x14ac:dyDescent="0.25">
      <c r="A373" s="7"/>
      <c r="B373" s="15" t="s">
        <v>1335</v>
      </c>
      <c r="C373" s="6"/>
      <c r="D373" s="11"/>
      <c r="E373" s="10"/>
      <c r="F373" s="8">
        <v>17223.400000000001</v>
      </c>
      <c r="G373" s="8"/>
    </row>
    <row r="374" spans="1:8" ht="75" x14ac:dyDescent="0.25">
      <c r="A374" s="7"/>
      <c r="B374" s="15" t="s">
        <v>580</v>
      </c>
      <c r="C374" s="6" t="s">
        <v>577</v>
      </c>
      <c r="D374" s="11" t="s">
        <v>1270</v>
      </c>
      <c r="E374" s="10"/>
      <c r="F374" s="10"/>
      <c r="G374" s="10"/>
    </row>
    <row r="375" spans="1:8" x14ac:dyDescent="0.25">
      <c r="A375" s="7"/>
      <c r="B375" s="15" t="s">
        <v>1333</v>
      </c>
      <c r="C375" s="6"/>
      <c r="D375" s="11"/>
      <c r="E375" s="10"/>
      <c r="F375" s="8">
        <v>1366.1</v>
      </c>
      <c r="G375" s="8"/>
    </row>
    <row r="376" spans="1:8" x14ac:dyDescent="0.25">
      <c r="A376" s="7"/>
      <c r="B376" s="15" t="s">
        <v>1335</v>
      </c>
      <c r="C376" s="6"/>
      <c r="D376" s="11"/>
      <c r="E376" s="10"/>
      <c r="F376" s="8">
        <v>17223.400000000001</v>
      </c>
      <c r="G376" s="8"/>
    </row>
    <row r="377" spans="1:8" ht="75" x14ac:dyDescent="0.25">
      <c r="A377" s="39" t="s">
        <v>583</v>
      </c>
      <c r="B377" s="40" t="s">
        <v>584</v>
      </c>
      <c r="C377" s="39"/>
      <c r="D377" s="41"/>
      <c r="E377" s="46"/>
      <c r="F377" s="46"/>
      <c r="G377" s="46"/>
      <c r="H377" s="3" t="s">
        <v>286</v>
      </c>
    </row>
    <row r="378" spans="1:8" x14ac:dyDescent="0.25">
      <c r="A378" s="39"/>
      <c r="B378" s="40" t="s">
        <v>553</v>
      </c>
      <c r="C378" s="39"/>
      <c r="D378" s="39"/>
      <c r="E378" s="47"/>
      <c r="F378" s="47"/>
      <c r="G378" s="47"/>
    </row>
    <row r="379" spans="1:8" x14ac:dyDescent="0.25">
      <c r="A379" s="39"/>
      <c r="B379" s="43" t="s">
        <v>1333</v>
      </c>
      <c r="C379" s="39"/>
      <c r="D379" s="39" t="s">
        <v>9</v>
      </c>
      <c r="E379" s="42">
        <v>13</v>
      </c>
      <c r="F379" s="42">
        <f>F382/F385*100</f>
        <v>6.7848083931005734</v>
      </c>
      <c r="G379" s="42" t="e">
        <f>G382/G385*100</f>
        <v>#DIV/0!</v>
      </c>
    </row>
    <row r="380" spans="1:8" x14ac:dyDescent="0.25">
      <c r="A380" s="39"/>
      <c r="B380" s="43" t="s">
        <v>1335</v>
      </c>
      <c r="C380" s="39"/>
      <c r="D380" s="39" t="s">
        <v>9</v>
      </c>
      <c r="E380" s="42">
        <v>100</v>
      </c>
      <c r="F380" s="42">
        <f>F383/F386*100</f>
        <v>100</v>
      </c>
      <c r="G380" s="42" t="e">
        <f>G383/G386*100</f>
        <v>#DIV/0!</v>
      </c>
    </row>
    <row r="381" spans="1:8" ht="105" x14ac:dyDescent="0.25">
      <c r="A381" s="6"/>
      <c r="B381" s="15" t="s">
        <v>586</v>
      </c>
      <c r="C381" s="6" t="s">
        <v>587</v>
      </c>
      <c r="D381" s="11" t="s">
        <v>1270</v>
      </c>
      <c r="E381" s="10"/>
      <c r="F381" s="10"/>
      <c r="G381" s="10"/>
    </row>
    <row r="382" spans="1:8" x14ac:dyDescent="0.25">
      <c r="A382" s="6"/>
      <c r="B382" s="15" t="s">
        <v>1333</v>
      </c>
      <c r="C382" s="6"/>
      <c r="D382" s="11"/>
      <c r="E382" s="10"/>
      <c r="F382" s="8">
        <v>197977.9</v>
      </c>
      <c r="G382" s="8"/>
    </row>
    <row r="383" spans="1:8" x14ac:dyDescent="0.25">
      <c r="A383" s="6"/>
      <c r="B383" s="15" t="s">
        <v>1335</v>
      </c>
      <c r="C383" s="6"/>
      <c r="D383" s="11"/>
      <c r="E383" s="10"/>
      <c r="F383" s="10">
        <v>3132</v>
      </c>
      <c r="G383" s="10"/>
    </row>
    <row r="384" spans="1:8" ht="90" x14ac:dyDescent="0.25">
      <c r="A384" s="6"/>
      <c r="B384" s="15" t="s">
        <v>588</v>
      </c>
      <c r="C384" s="6" t="s">
        <v>589</v>
      </c>
      <c r="D384" s="11" t="s">
        <v>1270</v>
      </c>
      <c r="E384" s="10"/>
      <c r="F384" s="10"/>
      <c r="G384" s="10"/>
    </row>
    <row r="385" spans="1:8" x14ac:dyDescent="0.25">
      <c r="A385" s="6"/>
      <c r="B385" s="15" t="s">
        <v>1333</v>
      </c>
      <c r="C385" s="6"/>
      <c r="D385" s="11"/>
      <c r="E385" s="10"/>
      <c r="F385" s="8">
        <v>2917958.6</v>
      </c>
      <c r="G385" s="8"/>
    </row>
    <row r="386" spans="1:8" x14ac:dyDescent="0.25">
      <c r="A386" s="6"/>
      <c r="B386" s="15" t="s">
        <v>1335</v>
      </c>
      <c r="C386" s="6"/>
      <c r="D386" s="11"/>
      <c r="E386" s="10"/>
      <c r="F386" s="10">
        <v>3132</v>
      </c>
      <c r="G386" s="10"/>
    </row>
    <row r="387" spans="1:8" x14ac:dyDescent="0.25">
      <c r="A387" s="41"/>
      <c r="B387" s="40" t="s">
        <v>585</v>
      </c>
      <c r="C387" s="39"/>
      <c r="D387" s="39"/>
      <c r="E387" s="47"/>
      <c r="F387" s="47"/>
      <c r="G387" s="47"/>
    </row>
    <row r="388" spans="1:8" x14ac:dyDescent="0.25">
      <c r="A388" s="41"/>
      <c r="B388" s="43" t="s">
        <v>1333</v>
      </c>
      <c r="C388" s="39"/>
      <c r="D388" s="39" t="s">
        <v>9</v>
      </c>
      <c r="E388" s="42">
        <v>0</v>
      </c>
      <c r="F388" s="42">
        <v>0</v>
      </c>
      <c r="G388" s="42">
        <v>0</v>
      </c>
    </row>
    <row r="389" spans="1:8" x14ac:dyDescent="0.25">
      <c r="A389" s="41"/>
      <c r="B389" s="43" t="s">
        <v>1335</v>
      </c>
      <c r="C389" s="39"/>
      <c r="D389" s="39" t="s">
        <v>9</v>
      </c>
      <c r="E389" s="42">
        <v>0</v>
      </c>
      <c r="F389" s="42">
        <v>0</v>
      </c>
      <c r="G389" s="42">
        <v>0</v>
      </c>
    </row>
    <row r="390" spans="1:8" ht="90" x14ac:dyDescent="0.25">
      <c r="A390" s="7"/>
      <c r="B390" s="15" t="s">
        <v>590</v>
      </c>
      <c r="C390" s="6" t="s">
        <v>591</v>
      </c>
      <c r="D390" s="11" t="s">
        <v>1270</v>
      </c>
      <c r="E390" s="10"/>
      <c r="F390" s="10"/>
      <c r="G390" s="10"/>
    </row>
    <row r="391" spans="1:8" x14ac:dyDescent="0.25">
      <c r="A391" s="7"/>
      <c r="B391" s="15" t="s">
        <v>1333</v>
      </c>
      <c r="C391" s="6"/>
      <c r="D391" s="11"/>
      <c r="E391" s="10"/>
      <c r="F391" s="8"/>
      <c r="G391" s="8"/>
    </row>
    <row r="392" spans="1:8" x14ac:dyDescent="0.25">
      <c r="A392" s="7"/>
      <c r="B392" s="15" t="s">
        <v>1335</v>
      </c>
      <c r="C392" s="6"/>
      <c r="D392" s="11"/>
      <c r="E392" s="10"/>
      <c r="F392" s="8"/>
      <c r="G392" s="8"/>
    </row>
    <row r="393" spans="1:8" ht="75" x14ac:dyDescent="0.25">
      <c r="A393" s="7"/>
      <c r="B393" s="15" t="s">
        <v>592</v>
      </c>
      <c r="C393" s="6" t="s">
        <v>593</v>
      </c>
      <c r="D393" s="11" t="s">
        <v>1270</v>
      </c>
      <c r="E393" s="10"/>
      <c r="F393" s="10"/>
      <c r="G393" s="10"/>
    </row>
    <row r="394" spans="1:8" x14ac:dyDescent="0.25">
      <c r="A394" s="7"/>
      <c r="B394" s="15" t="s">
        <v>1333</v>
      </c>
      <c r="C394" s="6"/>
      <c r="D394" s="11"/>
      <c r="E394" s="10"/>
      <c r="F394" s="8"/>
      <c r="G394" s="8"/>
    </row>
    <row r="395" spans="1:8" x14ac:dyDescent="0.25">
      <c r="A395" s="7"/>
      <c r="B395" s="15" t="s">
        <v>1335</v>
      </c>
      <c r="C395" s="6"/>
      <c r="D395" s="11"/>
      <c r="E395" s="10"/>
      <c r="F395" s="8"/>
      <c r="G395" s="8"/>
    </row>
    <row r="396" spans="1:8" ht="30" x14ac:dyDescent="0.25">
      <c r="A396" s="39" t="s">
        <v>594</v>
      </c>
      <c r="B396" s="40" t="s">
        <v>1291</v>
      </c>
      <c r="C396" s="39"/>
      <c r="D396" s="41"/>
      <c r="E396" s="46"/>
      <c r="F396" s="46"/>
      <c r="G396" s="46"/>
    </row>
    <row r="397" spans="1:8" ht="135" x14ac:dyDescent="0.25">
      <c r="A397" s="41"/>
      <c r="B397" s="40" t="s">
        <v>595</v>
      </c>
      <c r="C397" s="39"/>
      <c r="D397" s="39" t="s">
        <v>1270</v>
      </c>
      <c r="E397" s="42">
        <v>188.48</v>
      </c>
      <c r="F397" s="42">
        <f>F398/(F399+F400+F401+F402+F403+F404+F405+F406)</f>
        <v>0</v>
      </c>
      <c r="G397" s="42" t="e">
        <f>G398/(G399+G400+G401+G402+G403+G404+G405+G406)</f>
        <v>#DIV/0!</v>
      </c>
      <c r="H397" s="3" t="s">
        <v>602</v>
      </c>
    </row>
    <row r="398" spans="1:8" ht="60" x14ac:dyDescent="0.25">
      <c r="A398" s="7"/>
      <c r="B398" s="15" t="s">
        <v>596</v>
      </c>
      <c r="C398" s="6" t="s">
        <v>575</v>
      </c>
      <c r="D398" s="11" t="s">
        <v>1270</v>
      </c>
      <c r="E398" s="10"/>
      <c r="F398" s="10">
        <v>0</v>
      </c>
      <c r="G398" s="10"/>
    </row>
    <row r="399" spans="1:8" ht="60" x14ac:dyDescent="0.25">
      <c r="A399" s="7"/>
      <c r="B399" s="15" t="s">
        <v>424</v>
      </c>
      <c r="C399" s="6" t="s">
        <v>363</v>
      </c>
      <c r="D399" s="11" t="s">
        <v>1076</v>
      </c>
      <c r="E399" s="10"/>
      <c r="F399" s="10">
        <v>6084</v>
      </c>
      <c r="G399" s="10"/>
    </row>
    <row r="400" spans="1:8" ht="60" x14ac:dyDescent="0.25">
      <c r="A400" s="7"/>
      <c r="B400" s="15" t="s">
        <v>425</v>
      </c>
      <c r="C400" s="6" t="s">
        <v>364</v>
      </c>
      <c r="D400" s="11" t="s">
        <v>1076</v>
      </c>
      <c r="E400" s="10"/>
      <c r="F400" s="10">
        <v>425</v>
      </c>
      <c r="G400" s="10"/>
    </row>
    <row r="401" spans="1:8" ht="60" x14ac:dyDescent="0.25">
      <c r="A401" s="7"/>
      <c r="B401" s="15" t="s">
        <v>426</v>
      </c>
      <c r="C401" s="6" t="s">
        <v>427</v>
      </c>
      <c r="D401" s="11" t="s">
        <v>1076</v>
      </c>
      <c r="E401" s="10"/>
      <c r="F401" s="10">
        <v>0</v>
      </c>
      <c r="G401" s="10"/>
    </row>
    <row r="402" spans="1:8" ht="60" x14ac:dyDescent="0.25">
      <c r="A402" s="7"/>
      <c r="B402" s="15" t="s">
        <v>428</v>
      </c>
      <c r="C402" s="6" t="s">
        <v>348</v>
      </c>
      <c r="D402" s="11" t="s">
        <v>1076</v>
      </c>
      <c r="E402" s="10"/>
      <c r="F402" s="10">
        <v>0</v>
      </c>
      <c r="G402" s="10"/>
    </row>
    <row r="403" spans="1:8" ht="60" x14ac:dyDescent="0.25">
      <c r="A403" s="7"/>
      <c r="B403" s="15" t="s">
        <v>429</v>
      </c>
      <c r="C403" s="6" t="s">
        <v>347</v>
      </c>
      <c r="D403" s="11" t="s">
        <v>1076</v>
      </c>
      <c r="E403" s="10"/>
      <c r="F403" s="10">
        <v>0</v>
      </c>
      <c r="G403" s="10"/>
    </row>
    <row r="404" spans="1:8" ht="60" x14ac:dyDescent="0.25">
      <c r="A404" s="7"/>
      <c r="B404" s="15" t="s">
        <v>430</v>
      </c>
      <c r="C404" s="6" t="s">
        <v>349</v>
      </c>
      <c r="D404" s="11" t="s">
        <v>1076</v>
      </c>
      <c r="E404" s="10"/>
      <c r="F404" s="10">
        <v>0</v>
      </c>
      <c r="G404" s="10"/>
    </row>
    <row r="405" spans="1:8" ht="60" x14ac:dyDescent="0.25">
      <c r="A405" s="7"/>
      <c r="B405" s="15" t="s">
        <v>431</v>
      </c>
      <c r="C405" s="6" t="s">
        <v>432</v>
      </c>
      <c r="D405" s="11" t="s">
        <v>1076</v>
      </c>
      <c r="E405" s="10"/>
      <c r="F405" s="10">
        <v>0</v>
      </c>
      <c r="G405" s="10"/>
    </row>
    <row r="406" spans="1:8" ht="45" x14ac:dyDescent="0.25">
      <c r="A406" s="7"/>
      <c r="B406" s="15" t="s">
        <v>597</v>
      </c>
      <c r="C406" s="6" t="s">
        <v>434</v>
      </c>
      <c r="D406" s="11" t="s">
        <v>1076</v>
      </c>
      <c r="E406" s="10"/>
      <c r="F406" s="10">
        <v>155</v>
      </c>
      <c r="G406" s="10"/>
    </row>
    <row r="407" spans="1:8" ht="120" x14ac:dyDescent="0.25">
      <c r="A407" s="41"/>
      <c r="B407" s="40" t="s">
        <v>601</v>
      </c>
      <c r="C407" s="39"/>
      <c r="D407" s="39"/>
      <c r="E407" s="42"/>
      <c r="F407" s="42"/>
      <c r="G407" s="42"/>
      <c r="H407" s="3" t="s">
        <v>603</v>
      </c>
    </row>
    <row r="408" spans="1:8" x14ac:dyDescent="0.25">
      <c r="A408" s="41"/>
      <c r="B408" s="43" t="s">
        <v>1333</v>
      </c>
      <c r="C408" s="39"/>
      <c r="D408" s="39" t="s">
        <v>1270</v>
      </c>
      <c r="E408" s="42">
        <v>387.3</v>
      </c>
      <c r="F408" s="42">
        <v>428.31</v>
      </c>
      <c r="G408" s="42">
        <v>428.31</v>
      </c>
      <c r="H408" s="3"/>
    </row>
    <row r="409" spans="1:8" x14ac:dyDescent="0.25">
      <c r="A409" s="41"/>
      <c r="B409" s="43" t="s">
        <v>1335</v>
      </c>
      <c r="C409" s="39"/>
      <c r="D409" s="39" t="s">
        <v>1270</v>
      </c>
      <c r="E409" s="42">
        <v>29.2</v>
      </c>
      <c r="F409" s="42">
        <v>37.46</v>
      </c>
      <c r="G409" s="42">
        <v>37.46</v>
      </c>
      <c r="H409" s="3"/>
    </row>
    <row r="410" spans="1:8" ht="75" x14ac:dyDescent="0.25">
      <c r="A410" s="7"/>
      <c r="B410" s="15" t="s">
        <v>598</v>
      </c>
      <c r="C410" s="6" t="s">
        <v>589</v>
      </c>
      <c r="D410" s="11" t="s">
        <v>1270</v>
      </c>
      <c r="E410" s="10"/>
      <c r="F410" s="10"/>
      <c r="G410" s="10"/>
    </row>
    <row r="411" spans="1:8" x14ac:dyDescent="0.25">
      <c r="A411" s="7"/>
      <c r="B411" s="15" t="s">
        <v>1333</v>
      </c>
      <c r="C411" s="6"/>
      <c r="D411" s="11"/>
      <c r="E411" s="10"/>
      <c r="F411" s="10">
        <v>4155935.7</v>
      </c>
      <c r="G411" s="10"/>
    </row>
    <row r="412" spans="1:8" x14ac:dyDescent="0.25">
      <c r="A412" s="7"/>
      <c r="B412" s="15" t="s">
        <v>1335</v>
      </c>
      <c r="C412" s="6"/>
      <c r="D412" s="11"/>
      <c r="E412" s="10"/>
      <c r="F412" s="10">
        <v>3132</v>
      </c>
      <c r="G412" s="10"/>
    </row>
    <row r="413" spans="1:8" ht="75" x14ac:dyDescent="0.25">
      <c r="A413" s="7"/>
      <c r="B413" s="15" t="s">
        <v>599</v>
      </c>
      <c r="C413" s="6" t="s">
        <v>600</v>
      </c>
      <c r="D413" s="11" t="s">
        <v>1076</v>
      </c>
      <c r="E413" s="10"/>
      <c r="F413" s="10"/>
      <c r="G413" s="10"/>
    </row>
    <row r="414" spans="1:8" x14ac:dyDescent="0.25">
      <c r="A414" s="7"/>
      <c r="B414" s="15" t="s">
        <v>1333</v>
      </c>
      <c r="C414" s="6"/>
      <c r="D414" s="11"/>
      <c r="E414" s="10"/>
      <c r="F414" s="10">
        <v>10295</v>
      </c>
      <c r="G414" s="10"/>
    </row>
    <row r="415" spans="1:8" x14ac:dyDescent="0.25">
      <c r="A415" s="7"/>
      <c r="B415" s="15" t="s">
        <v>1335</v>
      </c>
      <c r="C415" s="6"/>
      <c r="D415" s="11"/>
      <c r="E415" s="10"/>
      <c r="F415" s="10">
        <v>104</v>
      </c>
      <c r="G415" s="10"/>
    </row>
    <row r="416" spans="1:8" ht="60" x14ac:dyDescent="0.25">
      <c r="A416" s="9" t="s">
        <v>631</v>
      </c>
      <c r="B416" s="16" t="s">
        <v>604</v>
      </c>
      <c r="C416" s="7"/>
      <c r="D416" s="7"/>
      <c r="E416" s="7"/>
      <c r="F416" s="7"/>
      <c r="G416" s="7"/>
    </row>
    <row r="417" spans="1:8" ht="90" x14ac:dyDescent="0.25">
      <c r="A417" s="39" t="s">
        <v>632</v>
      </c>
      <c r="B417" s="40" t="s">
        <v>605</v>
      </c>
      <c r="C417" s="41"/>
      <c r="D417" s="39"/>
      <c r="E417" s="47"/>
      <c r="F417" s="47"/>
      <c r="G417" s="47"/>
      <c r="H417" s="3" t="s">
        <v>286</v>
      </c>
    </row>
    <row r="418" spans="1:8" x14ac:dyDescent="0.25">
      <c r="A418" s="39"/>
      <c r="B418" s="43" t="s">
        <v>1333</v>
      </c>
      <c r="C418" s="41"/>
      <c r="D418" s="39" t="s">
        <v>9</v>
      </c>
      <c r="E418" s="42">
        <v>0</v>
      </c>
      <c r="F418" s="42">
        <v>12.5</v>
      </c>
      <c r="G418" s="42" t="e">
        <f>G421/G424*100</f>
        <v>#DIV/0!</v>
      </c>
      <c r="H418" s="3"/>
    </row>
    <row r="419" spans="1:8" x14ac:dyDescent="0.25">
      <c r="A419" s="39"/>
      <c r="B419" s="43" t="s">
        <v>1335</v>
      </c>
      <c r="C419" s="41"/>
      <c r="D419" s="39" t="s">
        <v>9</v>
      </c>
      <c r="E419" s="42">
        <v>0</v>
      </c>
      <c r="F419" s="42" t="e">
        <f>F422/F425*100</f>
        <v>#DIV/0!</v>
      </c>
      <c r="G419" s="42" t="e">
        <f>G422/G425*100</f>
        <v>#DIV/0!</v>
      </c>
      <c r="H419" s="3"/>
    </row>
    <row r="420" spans="1:8" ht="60" x14ac:dyDescent="0.25">
      <c r="A420" s="7"/>
      <c r="B420" s="15" t="s">
        <v>606</v>
      </c>
      <c r="C420" s="6" t="s">
        <v>607</v>
      </c>
      <c r="D420" s="11" t="s">
        <v>1268</v>
      </c>
      <c r="E420" s="10"/>
      <c r="F420" s="10"/>
      <c r="G420" s="10"/>
    </row>
    <row r="421" spans="1:8" x14ac:dyDescent="0.25">
      <c r="A421" s="7"/>
      <c r="B421" s="15" t="s">
        <v>1333</v>
      </c>
      <c r="C421" s="6"/>
      <c r="D421" s="11"/>
      <c r="E421" s="10"/>
      <c r="F421" s="10">
        <v>8</v>
      </c>
      <c r="G421" s="10"/>
    </row>
    <row r="422" spans="1:8" x14ac:dyDescent="0.25">
      <c r="A422" s="7"/>
      <c r="B422" s="15" t="s">
        <v>1335</v>
      </c>
      <c r="C422" s="6"/>
      <c r="D422" s="11"/>
      <c r="E422" s="10"/>
      <c r="F422" s="10">
        <v>2</v>
      </c>
      <c r="G422" s="10"/>
    </row>
    <row r="423" spans="1:8" ht="45" x14ac:dyDescent="0.25">
      <c r="A423" s="7"/>
      <c r="B423" s="15" t="s">
        <v>608</v>
      </c>
      <c r="C423" s="6" t="s">
        <v>609</v>
      </c>
      <c r="D423" s="11" t="s">
        <v>1268</v>
      </c>
      <c r="E423" s="10"/>
      <c r="F423" s="10"/>
      <c r="G423" s="10"/>
    </row>
    <row r="424" spans="1:8" x14ac:dyDescent="0.25">
      <c r="A424" s="7"/>
      <c r="B424" s="15" t="s">
        <v>1333</v>
      </c>
      <c r="C424" s="6"/>
      <c r="D424" s="11"/>
      <c r="E424" s="10"/>
      <c r="F424" s="10">
        <v>28</v>
      </c>
      <c r="G424" s="10"/>
    </row>
    <row r="425" spans="1:8" x14ac:dyDescent="0.25">
      <c r="A425" s="7"/>
      <c r="B425" s="15" t="s">
        <v>1335</v>
      </c>
      <c r="C425" s="6"/>
      <c r="D425" s="11"/>
      <c r="E425" s="10"/>
      <c r="F425" s="10">
        <v>0</v>
      </c>
      <c r="G425" s="10"/>
    </row>
    <row r="426" spans="1:8" ht="105" x14ac:dyDescent="0.25">
      <c r="A426" s="94" t="s">
        <v>1555</v>
      </c>
      <c r="B426" s="87" t="s">
        <v>1556</v>
      </c>
      <c r="C426" s="106"/>
      <c r="D426" s="94" t="s">
        <v>9</v>
      </c>
      <c r="E426" s="128" t="e">
        <f>E427/E428*100</f>
        <v>#DIV/0!</v>
      </c>
      <c r="F426" s="128" t="e">
        <f t="shared" ref="F426:G426" si="9">F427/F428*100</f>
        <v>#DIV/0!</v>
      </c>
      <c r="G426" s="128" t="e">
        <f t="shared" si="9"/>
        <v>#DIV/0!</v>
      </c>
    </row>
    <row r="427" spans="1:8" ht="90" x14ac:dyDescent="0.25">
      <c r="A427" s="94"/>
      <c r="B427" s="87" t="s">
        <v>1557</v>
      </c>
      <c r="C427" s="106"/>
      <c r="D427" s="94" t="s">
        <v>1268</v>
      </c>
      <c r="E427" s="128"/>
      <c r="F427" s="128"/>
      <c r="G427" s="128"/>
    </row>
    <row r="428" spans="1:8" x14ac:dyDescent="0.25">
      <c r="A428" s="94"/>
      <c r="B428" s="87" t="s">
        <v>1558</v>
      </c>
      <c r="C428" s="106"/>
      <c r="D428" s="94" t="s">
        <v>1268</v>
      </c>
      <c r="E428" s="128"/>
      <c r="F428" s="128"/>
      <c r="G428" s="128"/>
    </row>
    <row r="429" spans="1:8" ht="60" x14ac:dyDescent="0.25">
      <c r="A429" s="44" t="s">
        <v>610</v>
      </c>
      <c r="B429" s="45" t="s">
        <v>611</v>
      </c>
      <c r="C429" s="41"/>
      <c r="D429" s="41"/>
      <c r="E429" s="41"/>
      <c r="F429" s="41"/>
      <c r="G429" s="41"/>
    </row>
    <row r="430" spans="1:8" ht="75" x14ac:dyDescent="0.25">
      <c r="A430" s="39" t="s">
        <v>613</v>
      </c>
      <c r="B430" s="40" t="s">
        <v>612</v>
      </c>
      <c r="C430" s="39"/>
      <c r="D430" s="39"/>
      <c r="E430" s="47"/>
      <c r="F430" s="47"/>
      <c r="G430" s="47"/>
      <c r="H430" s="3" t="s">
        <v>624</v>
      </c>
    </row>
    <row r="431" spans="1:8" x14ac:dyDescent="0.25">
      <c r="A431" s="39"/>
      <c r="B431" s="40" t="s">
        <v>614</v>
      </c>
      <c r="C431" s="39"/>
      <c r="D431" s="39"/>
      <c r="E431" s="47"/>
      <c r="F431" s="47"/>
      <c r="G431" s="47"/>
    </row>
    <row r="432" spans="1:8" x14ac:dyDescent="0.25">
      <c r="A432" s="39"/>
      <c r="B432" s="43" t="s">
        <v>1333</v>
      </c>
      <c r="C432" s="39"/>
      <c r="D432" s="39" t="s">
        <v>9</v>
      </c>
      <c r="E432" s="42">
        <v>76.989999999999995</v>
      </c>
      <c r="F432" s="42">
        <f>F435/F438*100</f>
        <v>72.454078876283091</v>
      </c>
      <c r="G432" s="42" t="e">
        <f>G435/G438*100</f>
        <v>#DIV/0!</v>
      </c>
    </row>
    <row r="433" spans="1:7" x14ac:dyDescent="0.25">
      <c r="A433" s="39"/>
      <c r="B433" s="43" t="s">
        <v>1335</v>
      </c>
      <c r="C433" s="39"/>
      <c r="D433" s="39" t="s">
        <v>9</v>
      </c>
      <c r="E433" s="42">
        <v>100</v>
      </c>
      <c r="F433" s="42">
        <f>F436/F439*100</f>
        <v>100</v>
      </c>
      <c r="G433" s="42" t="e">
        <f>G436/G439*100</f>
        <v>#DIV/0!</v>
      </c>
    </row>
    <row r="434" spans="1:7" ht="75" x14ac:dyDescent="0.25">
      <c r="A434" s="6"/>
      <c r="B434" s="15" t="s">
        <v>615</v>
      </c>
      <c r="C434" s="6" t="s">
        <v>616</v>
      </c>
      <c r="D434" s="11" t="s">
        <v>1267</v>
      </c>
      <c r="E434" s="10"/>
      <c r="F434" s="10"/>
      <c r="G434" s="10"/>
    </row>
    <row r="435" spans="1:7" x14ac:dyDescent="0.25">
      <c r="A435" s="6"/>
      <c r="B435" s="15" t="s">
        <v>1333</v>
      </c>
      <c r="C435" s="6"/>
      <c r="D435" s="11"/>
      <c r="E435" s="10"/>
      <c r="F435" s="10">
        <v>182393</v>
      </c>
      <c r="G435" s="10"/>
    </row>
    <row r="436" spans="1:7" x14ac:dyDescent="0.25">
      <c r="A436" s="6"/>
      <c r="B436" s="15" t="s">
        <v>1335</v>
      </c>
      <c r="C436" s="6"/>
      <c r="D436" s="11"/>
      <c r="E436" s="10"/>
      <c r="F436" s="10">
        <v>4323</v>
      </c>
      <c r="G436" s="10"/>
    </row>
    <row r="437" spans="1:7" ht="75" x14ac:dyDescent="0.25">
      <c r="A437" s="6"/>
      <c r="B437" s="15" t="s">
        <v>617</v>
      </c>
      <c r="C437" s="6" t="s">
        <v>618</v>
      </c>
      <c r="D437" s="11" t="s">
        <v>1267</v>
      </c>
      <c r="E437" s="10"/>
      <c r="F437" s="10"/>
      <c r="G437" s="10"/>
    </row>
    <row r="438" spans="1:7" x14ac:dyDescent="0.25">
      <c r="A438" s="6"/>
      <c r="B438" s="15" t="s">
        <v>1333</v>
      </c>
      <c r="C438" s="6"/>
      <c r="D438" s="11"/>
      <c r="E438" s="10"/>
      <c r="F438" s="10">
        <v>251736</v>
      </c>
      <c r="G438" s="10"/>
    </row>
    <row r="439" spans="1:7" x14ac:dyDescent="0.25">
      <c r="A439" s="6"/>
      <c r="B439" s="15" t="s">
        <v>1335</v>
      </c>
      <c r="C439" s="6"/>
      <c r="D439" s="11"/>
      <c r="E439" s="10"/>
      <c r="F439" s="10">
        <v>4323</v>
      </c>
      <c r="G439" s="10"/>
    </row>
    <row r="440" spans="1:7" x14ac:dyDescent="0.25">
      <c r="A440" s="39"/>
      <c r="B440" s="40" t="s">
        <v>619</v>
      </c>
      <c r="C440" s="39"/>
      <c r="D440" s="39"/>
      <c r="E440" s="47"/>
      <c r="F440" s="47"/>
      <c r="G440" s="47"/>
    </row>
    <row r="441" spans="1:7" x14ac:dyDescent="0.25">
      <c r="A441" s="39"/>
      <c r="B441" s="43" t="s">
        <v>1333</v>
      </c>
      <c r="C441" s="39"/>
      <c r="D441" s="39" t="s">
        <v>9</v>
      </c>
      <c r="E441" s="42">
        <v>87.98</v>
      </c>
      <c r="F441" s="42">
        <f>F444/F447*100</f>
        <v>72.408239382893953</v>
      </c>
      <c r="G441" s="42" t="e">
        <f>G444/G447*100</f>
        <v>#DIV/0!</v>
      </c>
    </row>
    <row r="442" spans="1:7" x14ac:dyDescent="0.25">
      <c r="A442" s="39"/>
      <c r="B442" s="43" t="s">
        <v>1335</v>
      </c>
      <c r="C442" s="39"/>
      <c r="D442" s="39" t="s">
        <v>9</v>
      </c>
      <c r="E442" s="42">
        <v>0</v>
      </c>
      <c r="F442" s="42">
        <v>0</v>
      </c>
      <c r="G442" s="42" t="e">
        <f>G445/G448*100</f>
        <v>#DIV/0!</v>
      </c>
    </row>
    <row r="443" spans="1:7" ht="75" x14ac:dyDescent="0.25">
      <c r="A443" s="6"/>
      <c r="B443" s="15" t="s">
        <v>620</v>
      </c>
      <c r="C443" s="6" t="s">
        <v>621</v>
      </c>
      <c r="D443" s="11" t="s">
        <v>1267</v>
      </c>
      <c r="E443" s="10"/>
      <c r="F443" s="10"/>
      <c r="G443" s="10"/>
    </row>
    <row r="444" spans="1:7" x14ac:dyDescent="0.25">
      <c r="A444" s="6"/>
      <c r="B444" s="15" t="s">
        <v>1333</v>
      </c>
      <c r="C444" s="6"/>
      <c r="D444" s="11"/>
      <c r="E444" s="10"/>
      <c r="F444" s="10">
        <v>42710</v>
      </c>
      <c r="G444" s="10"/>
    </row>
    <row r="445" spans="1:7" x14ac:dyDescent="0.25">
      <c r="A445" s="6"/>
      <c r="B445" s="15" t="s">
        <v>1335</v>
      </c>
      <c r="C445" s="6"/>
      <c r="D445" s="11"/>
      <c r="E445" s="10"/>
      <c r="F445" s="10">
        <v>0</v>
      </c>
      <c r="G445" s="10"/>
    </row>
    <row r="446" spans="1:7" ht="75" x14ac:dyDescent="0.25">
      <c r="A446" s="6"/>
      <c r="B446" s="15" t="s">
        <v>622</v>
      </c>
      <c r="C446" s="6" t="s">
        <v>623</v>
      </c>
      <c r="D446" s="11" t="s">
        <v>1267</v>
      </c>
      <c r="E446" s="10"/>
      <c r="F446" s="10"/>
      <c r="G446" s="10"/>
    </row>
    <row r="447" spans="1:7" x14ac:dyDescent="0.25">
      <c r="A447" s="6"/>
      <c r="B447" s="15" t="s">
        <v>1333</v>
      </c>
      <c r="C447" s="6"/>
      <c r="D447" s="11"/>
      <c r="E447" s="10"/>
      <c r="F447" s="10">
        <v>58985</v>
      </c>
      <c r="G447" s="10"/>
    </row>
    <row r="448" spans="1:7" x14ac:dyDescent="0.25">
      <c r="A448" s="6"/>
      <c r="B448" s="15" t="s">
        <v>1335</v>
      </c>
      <c r="C448" s="6"/>
      <c r="D448" s="11"/>
      <c r="E448" s="10"/>
      <c r="F448" s="10">
        <v>0</v>
      </c>
      <c r="G448" s="10"/>
    </row>
    <row r="449" spans="1:8" ht="75" x14ac:dyDescent="0.25">
      <c r="A449" s="39" t="s">
        <v>626</v>
      </c>
      <c r="B449" s="40" t="s">
        <v>625</v>
      </c>
      <c r="C449" s="39"/>
      <c r="D449" s="39" t="s">
        <v>9</v>
      </c>
      <c r="E449" s="42">
        <v>0</v>
      </c>
      <c r="F449" s="42">
        <v>0</v>
      </c>
      <c r="G449" s="42">
        <v>0</v>
      </c>
      <c r="H449" s="3" t="s">
        <v>143</v>
      </c>
    </row>
    <row r="450" spans="1:8" ht="60" x14ac:dyDescent="0.25">
      <c r="A450" s="6"/>
      <c r="B450" s="15" t="s">
        <v>627</v>
      </c>
      <c r="C450" s="6" t="s">
        <v>628</v>
      </c>
      <c r="D450" s="11" t="s">
        <v>1268</v>
      </c>
      <c r="E450" s="10"/>
      <c r="F450" s="10">
        <v>0</v>
      </c>
      <c r="G450" s="10"/>
    </row>
    <row r="451" spans="1:8" ht="45" x14ac:dyDescent="0.25">
      <c r="A451" s="6"/>
      <c r="B451" s="15" t="s">
        <v>629</v>
      </c>
      <c r="C451" s="6" t="s">
        <v>630</v>
      </c>
      <c r="D451" s="11" t="s">
        <v>1268</v>
      </c>
      <c r="E451" s="10"/>
      <c r="F451" s="10">
        <v>16</v>
      </c>
      <c r="G451" s="10"/>
    </row>
    <row r="452" spans="1:8" ht="75" x14ac:dyDescent="0.25">
      <c r="A452" s="39" t="s">
        <v>634</v>
      </c>
      <c r="B452" s="40" t="s">
        <v>633</v>
      </c>
      <c r="C452" s="39"/>
      <c r="D452" s="39" t="s">
        <v>9</v>
      </c>
      <c r="E452" s="42">
        <v>0</v>
      </c>
      <c r="F452" s="42">
        <v>0</v>
      </c>
      <c r="G452" s="42">
        <v>0</v>
      </c>
      <c r="H452" s="3" t="s">
        <v>143</v>
      </c>
    </row>
    <row r="453" spans="1:8" ht="60" x14ac:dyDescent="0.25">
      <c r="A453" s="6"/>
      <c r="B453" s="15" t="s">
        <v>636</v>
      </c>
      <c r="C453" s="6" t="s">
        <v>637</v>
      </c>
      <c r="D453" s="11" t="s">
        <v>1268</v>
      </c>
      <c r="E453" s="10"/>
      <c r="F453" s="10">
        <v>0</v>
      </c>
      <c r="G453" s="10"/>
    </row>
    <row r="454" spans="1:8" ht="60" x14ac:dyDescent="0.25">
      <c r="A454" s="6"/>
      <c r="B454" s="15" t="s">
        <v>635</v>
      </c>
      <c r="C454" s="6" t="s">
        <v>630</v>
      </c>
      <c r="D454" s="11" t="s">
        <v>1268</v>
      </c>
      <c r="E454" s="10"/>
      <c r="F454" s="10">
        <v>16</v>
      </c>
      <c r="G454" s="10"/>
    </row>
    <row r="455" spans="1:8" ht="75" x14ac:dyDescent="0.25">
      <c r="A455" s="39" t="s">
        <v>638</v>
      </c>
      <c r="B455" s="40" t="s">
        <v>639</v>
      </c>
      <c r="C455" s="39"/>
      <c r="D455" s="39"/>
      <c r="E455" s="47"/>
      <c r="F455" s="47"/>
      <c r="G455" s="47"/>
      <c r="H455" s="3" t="s">
        <v>286</v>
      </c>
    </row>
    <row r="456" spans="1:8" x14ac:dyDescent="0.25">
      <c r="A456" s="39"/>
      <c r="B456" s="43" t="s">
        <v>1333</v>
      </c>
      <c r="C456" s="39"/>
      <c r="D456" s="39" t="s">
        <v>9</v>
      </c>
      <c r="E456" s="42">
        <v>0.23</v>
      </c>
      <c r="F456" s="42">
        <f>F459/F462*100</f>
        <v>1.3843868179362506</v>
      </c>
      <c r="G456" s="42" t="e">
        <f>G459/G462*100</f>
        <v>#DIV/0!</v>
      </c>
      <c r="H456" s="3"/>
    </row>
    <row r="457" spans="1:8" x14ac:dyDescent="0.25">
      <c r="A457" s="39"/>
      <c r="B457" s="43" t="s">
        <v>1335</v>
      </c>
      <c r="C457" s="39"/>
      <c r="D457" s="39" t="s">
        <v>9</v>
      </c>
      <c r="E457" s="42">
        <v>0</v>
      </c>
      <c r="F457" s="42">
        <f>F460/F463*100</f>
        <v>0</v>
      </c>
      <c r="G457" s="42" t="e">
        <f>G460/G463*100</f>
        <v>#DIV/0!</v>
      </c>
      <c r="H457" s="3"/>
    </row>
    <row r="458" spans="1:8" ht="75" x14ac:dyDescent="0.25">
      <c r="A458" s="6"/>
      <c r="B458" s="15" t="s">
        <v>640</v>
      </c>
      <c r="C458" s="6" t="s">
        <v>641</v>
      </c>
      <c r="D458" s="11" t="s">
        <v>1267</v>
      </c>
      <c r="E458" s="10"/>
      <c r="F458" s="10"/>
      <c r="G458" s="10"/>
    </row>
    <row r="459" spans="1:8" x14ac:dyDescent="0.25">
      <c r="A459" s="6"/>
      <c r="B459" s="15" t="s">
        <v>1333</v>
      </c>
      <c r="C459" s="6"/>
      <c r="D459" s="11"/>
      <c r="E459" s="10"/>
      <c r="F459" s="10">
        <v>3485</v>
      </c>
      <c r="G459" s="10"/>
    </row>
    <row r="460" spans="1:8" x14ac:dyDescent="0.25">
      <c r="A460" s="6"/>
      <c r="B460" s="15" t="s">
        <v>1335</v>
      </c>
      <c r="C460" s="6"/>
      <c r="D460" s="11"/>
      <c r="E460" s="10"/>
      <c r="F460" s="10">
        <v>0</v>
      </c>
      <c r="G460" s="10"/>
    </row>
    <row r="461" spans="1:8" ht="75" x14ac:dyDescent="0.25">
      <c r="A461" s="6"/>
      <c r="B461" s="15" t="s">
        <v>617</v>
      </c>
      <c r="C461" s="6" t="s">
        <v>618</v>
      </c>
      <c r="D461" s="11" t="s">
        <v>1267</v>
      </c>
      <c r="E461" s="10"/>
      <c r="F461" s="10"/>
      <c r="G461" s="10"/>
    </row>
    <row r="462" spans="1:8" x14ac:dyDescent="0.25">
      <c r="A462" s="6"/>
      <c r="B462" s="15" t="s">
        <v>1333</v>
      </c>
      <c r="C462" s="6"/>
      <c r="D462" s="11"/>
      <c r="E462" s="10"/>
      <c r="F462" s="10">
        <v>251736</v>
      </c>
      <c r="G462" s="10"/>
    </row>
    <row r="463" spans="1:8" x14ac:dyDescent="0.25">
      <c r="A463" s="6"/>
      <c r="B463" s="15" t="s">
        <v>1335</v>
      </c>
      <c r="C463" s="6"/>
      <c r="D463" s="11"/>
      <c r="E463" s="10"/>
      <c r="F463" s="10">
        <v>4323</v>
      </c>
      <c r="G463" s="10"/>
    </row>
    <row r="464" spans="1:8" ht="75" x14ac:dyDescent="0.25">
      <c r="A464" s="39" t="s">
        <v>873</v>
      </c>
      <c r="B464" s="40" t="s">
        <v>642</v>
      </c>
      <c r="C464" s="39"/>
      <c r="D464" s="39"/>
      <c r="E464" s="47"/>
      <c r="F464" s="47"/>
      <c r="G464" s="47"/>
      <c r="H464" s="3" t="s">
        <v>286</v>
      </c>
    </row>
    <row r="465" spans="1:8" x14ac:dyDescent="0.25">
      <c r="A465" s="39"/>
      <c r="B465" s="43" t="s">
        <v>1333</v>
      </c>
      <c r="C465" s="39"/>
      <c r="D465" s="39" t="s">
        <v>9</v>
      </c>
      <c r="E465" s="42">
        <v>1.96</v>
      </c>
      <c r="F465" s="42">
        <f>F468/F471*100</f>
        <v>11.489020243429625</v>
      </c>
      <c r="G465" s="42" t="e">
        <f>G468/G471*100</f>
        <v>#DIV/0!</v>
      </c>
      <c r="H465" s="3"/>
    </row>
    <row r="466" spans="1:8" x14ac:dyDescent="0.25">
      <c r="A466" s="39"/>
      <c r="B466" s="43" t="s">
        <v>1335</v>
      </c>
      <c r="C466" s="39"/>
      <c r="D466" s="39" t="s">
        <v>9</v>
      </c>
      <c r="E466" s="42">
        <v>0</v>
      </c>
      <c r="F466" s="42">
        <f>F469/F472*100</f>
        <v>0</v>
      </c>
      <c r="G466" s="42" t="e">
        <f>G469/G472*100</f>
        <v>#DIV/0!</v>
      </c>
      <c r="H466" s="3"/>
    </row>
    <row r="467" spans="1:8" ht="75" x14ac:dyDescent="0.25">
      <c r="A467" s="6"/>
      <c r="B467" s="15" t="s">
        <v>643</v>
      </c>
      <c r="C467" s="6" t="s">
        <v>644</v>
      </c>
      <c r="D467" s="11" t="s">
        <v>1267</v>
      </c>
      <c r="E467" s="10"/>
      <c r="F467" s="10"/>
      <c r="G467" s="10"/>
    </row>
    <row r="468" spans="1:8" x14ac:dyDescent="0.25">
      <c r="A468" s="6"/>
      <c r="B468" s="15" t="s">
        <v>1333</v>
      </c>
      <c r="C468" s="6"/>
      <c r="D468" s="11"/>
      <c r="E468" s="10"/>
      <c r="F468" s="10">
        <v>28922</v>
      </c>
      <c r="G468" s="10"/>
    </row>
    <row r="469" spans="1:8" x14ac:dyDescent="0.25">
      <c r="A469" s="6"/>
      <c r="B469" s="15" t="s">
        <v>1335</v>
      </c>
      <c r="C469" s="6"/>
      <c r="D469" s="11"/>
      <c r="E469" s="10"/>
      <c r="F469" s="10">
        <v>0</v>
      </c>
      <c r="G469" s="10"/>
    </row>
    <row r="470" spans="1:8" ht="75" x14ac:dyDescent="0.25">
      <c r="A470" s="6"/>
      <c r="B470" s="15" t="s">
        <v>617</v>
      </c>
      <c r="C470" s="6" t="s">
        <v>618</v>
      </c>
      <c r="D470" s="11" t="s">
        <v>1267</v>
      </c>
      <c r="E470" s="10"/>
      <c r="F470" s="10"/>
      <c r="G470" s="10"/>
      <c r="H470" s="3"/>
    </row>
    <row r="471" spans="1:8" x14ac:dyDescent="0.25">
      <c r="A471" s="6"/>
      <c r="B471" s="15" t="s">
        <v>1333</v>
      </c>
      <c r="C471" s="6"/>
      <c r="D471" s="11"/>
      <c r="E471" s="10"/>
      <c r="F471" s="10">
        <v>251736</v>
      </c>
      <c r="G471" s="10"/>
      <c r="H471" s="3"/>
    </row>
    <row r="472" spans="1:8" x14ac:dyDescent="0.25">
      <c r="A472" s="6"/>
      <c r="B472" s="15" t="s">
        <v>1335</v>
      </c>
      <c r="C472" s="6"/>
      <c r="D472" s="11"/>
      <c r="E472" s="10"/>
      <c r="F472" s="10">
        <v>4323</v>
      </c>
      <c r="G472" s="10"/>
      <c r="H472" s="3"/>
    </row>
    <row r="473" spans="1:8" ht="75" x14ac:dyDescent="0.25">
      <c r="A473" s="39" t="s">
        <v>874</v>
      </c>
      <c r="B473" s="40" t="s">
        <v>645</v>
      </c>
      <c r="C473" s="39"/>
      <c r="D473" s="39"/>
      <c r="E473" s="47"/>
      <c r="F473" s="47"/>
      <c r="G473" s="47"/>
      <c r="H473" s="3" t="s">
        <v>286</v>
      </c>
    </row>
    <row r="474" spans="1:8" x14ac:dyDescent="0.25">
      <c r="A474" s="39"/>
      <c r="B474" s="43" t="s">
        <v>1333</v>
      </c>
      <c r="C474" s="39"/>
      <c r="D474" s="39" t="s">
        <v>9</v>
      </c>
      <c r="E474" s="42">
        <v>0</v>
      </c>
      <c r="F474" s="42">
        <f>F477/F480*100</f>
        <v>0</v>
      </c>
      <c r="G474" s="42" t="e">
        <f>G477/G480*100</f>
        <v>#DIV/0!</v>
      </c>
      <c r="H474" s="3"/>
    </row>
    <row r="475" spans="1:8" x14ac:dyDescent="0.25">
      <c r="A475" s="39"/>
      <c r="B475" s="43" t="s">
        <v>1335</v>
      </c>
      <c r="C475" s="39"/>
      <c r="D475" s="39" t="s">
        <v>9</v>
      </c>
      <c r="E475" s="42">
        <v>0</v>
      </c>
      <c r="F475" s="42">
        <v>0</v>
      </c>
      <c r="G475" s="42" t="e">
        <f>G478/G481*100</f>
        <v>#DIV/0!</v>
      </c>
      <c r="H475" s="3"/>
    </row>
    <row r="476" spans="1:8" ht="75" x14ac:dyDescent="0.25">
      <c r="A476" s="6"/>
      <c r="B476" s="15" t="s">
        <v>646</v>
      </c>
      <c r="C476" s="6" t="s">
        <v>647</v>
      </c>
      <c r="D476" s="11" t="s">
        <v>1267</v>
      </c>
      <c r="E476" s="10"/>
      <c r="F476" s="10"/>
      <c r="G476" s="10"/>
    </row>
    <row r="477" spans="1:8" x14ac:dyDescent="0.25">
      <c r="A477" s="6"/>
      <c r="B477" s="15" t="s">
        <v>1333</v>
      </c>
      <c r="C477" s="6"/>
      <c r="D477" s="11"/>
      <c r="E477" s="10"/>
      <c r="F477" s="10">
        <v>0</v>
      </c>
      <c r="G477" s="10"/>
    </row>
    <row r="478" spans="1:8" x14ac:dyDescent="0.25">
      <c r="A478" s="6"/>
      <c r="B478" s="15" t="s">
        <v>1335</v>
      </c>
      <c r="C478" s="6"/>
      <c r="D478" s="11"/>
      <c r="E478" s="10"/>
      <c r="F478" s="10">
        <v>0</v>
      </c>
      <c r="G478" s="10"/>
    </row>
    <row r="479" spans="1:8" ht="75" x14ac:dyDescent="0.25">
      <c r="A479" s="6"/>
      <c r="B479" s="15" t="s">
        <v>622</v>
      </c>
      <c r="C479" s="6" t="s">
        <v>623</v>
      </c>
      <c r="D479" s="11" t="s">
        <v>1267</v>
      </c>
      <c r="E479" s="10"/>
      <c r="F479" s="10"/>
      <c r="G479" s="10"/>
    </row>
    <row r="480" spans="1:8" x14ac:dyDescent="0.25">
      <c r="A480" s="6"/>
      <c r="B480" s="15" t="s">
        <v>1333</v>
      </c>
      <c r="C480" s="6"/>
      <c r="D480" s="11"/>
      <c r="E480" s="10"/>
      <c r="F480" s="10">
        <v>58985</v>
      </c>
      <c r="G480" s="10"/>
    </row>
    <row r="481" spans="1:8" x14ac:dyDescent="0.25">
      <c r="A481" s="6"/>
      <c r="B481" s="15" t="s">
        <v>1335</v>
      </c>
      <c r="C481" s="6"/>
      <c r="D481" s="11"/>
      <c r="E481" s="10"/>
      <c r="F481" s="10">
        <v>0</v>
      </c>
      <c r="G481" s="10"/>
    </row>
    <row r="482" spans="1:8" ht="75" x14ac:dyDescent="0.25">
      <c r="A482" s="39" t="s">
        <v>875</v>
      </c>
      <c r="B482" s="40" t="s">
        <v>648</v>
      </c>
      <c r="C482" s="39"/>
      <c r="D482" s="39"/>
      <c r="E482" s="47"/>
      <c r="F482" s="47"/>
      <c r="G482" s="47"/>
      <c r="H482" s="3" t="s">
        <v>286</v>
      </c>
    </row>
    <row r="483" spans="1:8" x14ac:dyDescent="0.25">
      <c r="A483" s="39"/>
      <c r="B483" s="43" t="s">
        <v>1333</v>
      </c>
      <c r="C483" s="39"/>
      <c r="D483" s="39" t="s">
        <v>9</v>
      </c>
      <c r="E483" s="42">
        <v>0</v>
      </c>
      <c r="F483" s="42">
        <f>F486/F489*100</f>
        <v>1.1782656607612105</v>
      </c>
      <c r="G483" s="42" t="e">
        <f>G486/G489*100</f>
        <v>#DIV/0!</v>
      </c>
      <c r="H483" s="3"/>
    </row>
    <row r="484" spans="1:8" x14ac:dyDescent="0.25">
      <c r="A484" s="39"/>
      <c r="B484" s="43" t="s">
        <v>1335</v>
      </c>
      <c r="C484" s="39"/>
      <c r="D484" s="39" t="s">
        <v>9</v>
      </c>
      <c r="E484" s="42">
        <v>0</v>
      </c>
      <c r="F484" s="42">
        <v>0</v>
      </c>
      <c r="G484" s="42" t="e">
        <f>G487/G490*100</f>
        <v>#DIV/0!</v>
      </c>
      <c r="H484" s="3"/>
    </row>
    <row r="485" spans="1:8" ht="75" x14ac:dyDescent="0.25">
      <c r="A485" s="6"/>
      <c r="B485" s="15" t="s">
        <v>649</v>
      </c>
      <c r="C485" s="6" t="s">
        <v>650</v>
      </c>
      <c r="D485" s="11" t="s">
        <v>1267</v>
      </c>
      <c r="E485" s="10"/>
      <c r="F485" s="10"/>
      <c r="G485" s="10"/>
    </row>
    <row r="486" spans="1:8" x14ac:dyDescent="0.25">
      <c r="A486" s="6"/>
      <c r="B486" s="15" t="s">
        <v>1333</v>
      </c>
      <c r="C486" s="6"/>
      <c r="D486" s="11"/>
      <c r="E486" s="10"/>
      <c r="F486" s="10">
        <v>695</v>
      </c>
      <c r="G486" s="10"/>
    </row>
    <row r="487" spans="1:8" x14ac:dyDescent="0.25">
      <c r="A487" s="6"/>
      <c r="B487" s="15" t="s">
        <v>1335</v>
      </c>
      <c r="C487" s="6"/>
      <c r="D487" s="11"/>
      <c r="E487" s="10"/>
      <c r="F487" s="10">
        <v>0</v>
      </c>
      <c r="G487" s="10"/>
    </row>
    <row r="488" spans="1:8" ht="75" x14ac:dyDescent="0.25">
      <c r="A488" s="6"/>
      <c r="B488" s="15" t="s">
        <v>622</v>
      </c>
      <c r="C488" s="6" t="s">
        <v>623</v>
      </c>
      <c r="D488" s="11" t="s">
        <v>1267</v>
      </c>
      <c r="E488" s="10"/>
      <c r="F488" s="10"/>
      <c r="G488" s="10"/>
    </row>
    <row r="489" spans="1:8" x14ac:dyDescent="0.25">
      <c r="A489" s="6"/>
      <c r="B489" s="15" t="s">
        <v>1333</v>
      </c>
      <c r="C489" s="6"/>
      <c r="D489" s="11"/>
      <c r="E489" s="10"/>
      <c r="F489" s="10">
        <v>58985</v>
      </c>
      <c r="G489" s="10"/>
    </row>
    <row r="490" spans="1:8" x14ac:dyDescent="0.25">
      <c r="A490" s="6"/>
      <c r="B490" s="15" t="s">
        <v>1335</v>
      </c>
      <c r="C490" s="6"/>
      <c r="D490" s="11"/>
      <c r="E490" s="10"/>
      <c r="F490" s="10">
        <v>0</v>
      </c>
      <c r="G490" s="10"/>
    </row>
  </sheetData>
  <mergeCells count="40">
    <mergeCell ref="A7:G7"/>
    <mergeCell ref="A8:G8"/>
    <mergeCell ref="A3:G3"/>
    <mergeCell ref="A4:G4"/>
    <mergeCell ref="A28:A33"/>
    <mergeCell ref="B11:B12"/>
    <mergeCell ref="A11:A12"/>
    <mergeCell ref="B26:B27"/>
    <mergeCell ref="A26:A27"/>
    <mergeCell ref="B28:B33"/>
    <mergeCell ref="A35:A36"/>
    <mergeCell ref="B63:B64"/>
    <mergeCell ref="A63:A64"/>
    <mergeCell ref="B65:B68"/>
    <mergeCell ref="A65:A68"/>
    <mergeCell ref="B35:B36"/>
    <mergeCell ref="B37:B42"/>
    <mergeCell ref="A37:A42"/>
    <mergeCell ref="B168:B171"/>
    <mergeCell ref="A168:A171"/>
    <mergeCell ref="B270:B273"/>
    <mergeCell ref="A270:A273"/>
    <mergeCell ref="B274:B275"/>
    <mergeCell ref="A274:A275"/>
    <mergeCell ref="A256:A258"/>
    <mergeCell ref="B264:B265"/>
    <mergeCell ref="A264:A265"/>
    <mergeCell ref="B266:B267"/>
    <mergeCell ref="A266:A267"/>
    <mergeCell ref="B244:B246"/>
    <mergeCell ref="A244:A246"/>
    <mergeCell ref="B256:B258"/>
    <mergeCell ref="B172:B175"/>
    <mergeCell ref="A172:A175"/>
    <mergeCell ref="B279:B282"/>
    <mergeCell ref="A279:A282"/>
    <mergeCell ref="B283:B284"/>
    <mergeCell ref="A283:A284"/>
    <mergeCell ref="B286:B287"/>
    <mergeCell ref="A286:A28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I247"/>
  <sheetViews>
    <sheetView workbookViewId="0"/>
  </sheetViews>
  <sheetFormatPr defaultRowHeight="15" x14ac:dyDescent="0.25"/>
  <cols>
    <col min="2" max="2" width="75.140625" customWidth="1"/>
    <col min="3" max="3" width="20.140625" customWidth="1"/>
    <col min="4" max="4" width="16.140625" customWidth="1"/>
    <col min="5" max="7" width="12.28515625" customWidth="1"/>
    <col min="8" max="8" width="41.85546875" customWidth="1"/>
  </cols>
  <sheetData>
    <row r="3" spans="1:8" ht="18.75" x14ac:dyDescent="0.3">
      <c r="A3" s="440" t="s">
        <v>0</v>
      </c>
      <c r="B3" s="440"/>
      <c r="C3" s="440"/>
      <c r="D3" s="440"/>
      <c r="E3" s="440"/>
      <c r="F3" s="440"/>
      <c r="G3" s="440"/>
      <c r="H3" s="12"/>
    </row>
    <row r="4" spans="1:8" ht="18.75" x14ac:dyDescent="0.3">
      <c r="A4" s="440" t="s">
        <v>1</v>
      </c>
      <c r="B4" s="440"/>
      <c r="C4" s="440"/>
      <c r="D4" s="440"/>
      <c r="E4" s="440"/>
      <c r="F4" s="440"/>
      <c r="G4" s="440"/>
      <c r="H4" s="23"/>
    </row>
    <row r="5" spans="1:8" x14ac:dyDescent="0.25">
      <c r="A5" s="1"/>
      <c r="B5" s="1"/>
      <c r="C5" s="1"/>
      <c r="D5" s="1"/>
      <c r="E5" s="1"/>
      <c r="F5" s="1"/>
      <c r="G5" s="1"/>
      <c r="H5" s="1"/>
    </row>
    <row r="6" spans="1:8" ht="45" x14ac:dyDescent="0.25">
      <c r="A6" s="4" t="s">
        <v>6</v>
      </c>
      <c r="B6" s="4" t="s">
        <v>380</v>
      </c>
      <c r="C6" s="5" t="s">
        <v>10</v>
      </c>
      <c r="D6" s="5" t="s">
        <v>11</v>
      </c>
      <c r="E6" s="5" t="s">
        <v>1494</v>
      </c>
      <c r="F6" s="5" t="s">
        <v>1495</v>
      </c>
      <c r="G6" s="5" t="s">
        <v>1516</v>
      </c>
      <c r="H6" s="2" t="s">
        <v>12</v>
      </c>
    </row>
    <row r="7" spans="1:8" x14ac:dyDescent="0.25">
      <c r="A7" s="439" t="s">
        <v>317</v>
      </c>
      <c r="B7" s="439"/>
      <c r="C7" s="439"/>
      <c r="D7" s="439"/>
      <c r="E7" s="439"/>
      <c r="F7" s="439"/>
      <c r="G7" s="439"/>
    </row>
    <row r="8" spans="1:8" x14ac:dyDescent="0.25">
      <c r="A8" s="439" t="s">
        <v>654</v>
      </c>
      <c r="B8" s="439"/>
      <c r="C8" s="439"/>
      <c r="D8" s="439"/>
      <c r="E8" s="439"/>
      <c r="F8" s="439"/>
      <c r="G8" s="439"/>
    </row>
    <row r="9" spans="1:8" ht="30" x14ac:dyDescent="0.25">
      <c r="A9" s="44" t="s">
        <v>656</v>
      </c>
      <c r="B9" s="45" t="s">
        <v>655</v>
      </c>
      <c r="C9" s="40"/>
      <c r="D9" s="41"/>
      <c r="E9" s="41"/>
      <c r="F9" s="41"/>
      <c r="G9" s="41"/>
    </row>
    <row r="10" spans="1:8" ht="75" x14ac:dyDescent="0.25">
      <c r="A10" s="39" t="s">
        <v>661</v>
      </c>
      <c r="B10" s="40" t="s">
        <v>657</v>
      </c>
      <c r="C10" s="40"/>
      <c r="D10" s="39" t="s">
        <v>9</v>
      </c>
      <c r="E10" s="42">
        <v>3.56</v>
      </c>
      <c r="F10" s="42">
        <v>8.26</v>
      </c>
      <c r="G10" s="42"/>
      <c r="H10" s="3" t="s">
        <v>46</v>
      </c>
    </row>
    <row r="11" spans="1:8" ht="45" customHeight="1" x14ac:dyDescent="0.25">
      <c r="A11" s="433"/>
      <c r="B11" s="20" t="s">
        <v>658</v>
      </c>
      <c r="C11" s="6" t="s">
        <v>659</v>
      </c>
      <c r="D11" s="6" t="s">
        <v>1076</v>
      </c>
      <c r="E11" s="6"/>
      <c r="F11" s="6"/>
      <c r="G11" s="6"/>
    </row>
    <row r="12" spans="1:8" ht="30" x14ac:dyDescent="0.25">
      <c r="A12" s="435"/>
      <c r="B12" s="20" t="s">
        <v>660</v>
      </c>
      <c r="C12" s="6" t="s">
        <v>142</v>
      </c>
      <c r="D12" s="6" t="s">
        <v>1076</v>
      </c>
      <c r="E12" s="6"/>
      <c r="F12" s="6"/>
      <c r="G12" s="6"/>
    </row>
    <row r="13" spans="1:8" ht="90" x14ac:dyDescent="0.25">
      <c r="A13" s="56" t="s">
        <v>666</v>
      </c>
      <c r="B13" s="57" t="s">
        <v>662</v>
      </c>
      <c r="C13" s="55"/>
      <c r="D13" s="56" t="s">
        <v>9</v>
      </c>
      <c r="E13" s="48" t="e">
        <f>E14/E15*100</f>
        <v>#DIV/0!</v>
      </c>
      <c r="F13" s="48" t="e">
        <f>F14/F15*100</f>
        <v>#DIV/0!</v>
      </c>
      <c r="G13" s="48" t="e">
        <f>G14/G15*100</f>
        <v>#DIV/0!</v>
      </c>
      <c r="H13" s="3" t="s">
        <v>46</v>
      </c>
    </row>
    <row r="14" spans="1:8" ht="90" x14ac:dyDescent="0.25">
      <c r="A14" s="61"/>
      <c r="B14" s="60" t="s">
        <v>663</v>
      </c>
      <c r="C14" s="35" t="s">
        <v>664</v>
      </c>
      <c r="D14" s="35" t="s">
        <v>1076</v>
      </c>
      <c r="E14" s="35"/>
      <c r="F14" s="35"/>
      <c r="G14" s="35"/>
    </row>
    <row r="15" spans="1:8" ht="60" x14ac:dyDescent="0.25">
      <c r="A15" s="61"/>
      <c r="B15" s="60" t="s">
        <v>665</v>
      </c>
      <c r="C15" s="35" t="s">
        <v>659</v>
      </c>
      <c r="D15" s="35" t="s">
        <v>1076</v>
      </c>
      <c r="E15" s="35"/>
      <c r="F15" s="35"/>
      <c r="G15" s="35"/>
    </row>
    <row r="16" spans="1:8" ht="30" x14ac:dyDescent="0.25">
      <c r="A16" s="44" t="s">
        <v>668</v>
      </c>
      <c r="B16" s="45" t="s">
        <v>667</v>
      </c>
      <c r="C16" s="41"/>
      <c r="D16" s="39"/>
      <c r="E16" s="46"/>
      <c r="F16" s="46"/>
      <c r="G16" s="46"/>
    </row>
    <row r="17" spans="1:8" ht="105" x14ac:dyDescent="0.25">
      <c r="A17" s="39" t="s">
        <v>669</v>
      </c>
      <c r="B17" s="40" t="s">
        <v>670</v>
      </c>
      <c r="C17" s="41"/>
      <c r="D17" s="39"/>
      <c r="E17" s="47"/>
      <c r="F17" s="47"/>
      <c r="G17" s="47"/>
      <c r="H17" s="3" t="s">
        <v>286</v>
      </c>
    </row>
    <row r="18" spans="1:8" x14ac:dyDescent="0.25">
      <c r="A18" s="39"/>
      <c r="B18" s="40" t="s">
        <v>671</v>
      </c>
      <c r="C18" s="41"/>
      <c r="D18" s="39"/>
      <c r="E18" s="47"/>
      <c r="F18" s="47"/>
      <c r="G18" s="47"/>
      <c r="H18" s="3"/>
    </row>
    <row r="19" spans="1:8" x14ac:dyDescent="0.25">
      <c r="A19" s="39"/>
      <c r="B19" s="40" t="s">
        <v>1333</v>
      </c>
      <c r="C19" s="41"/>
      <c r="D19" s="39" t="s">
        <v>9</v>
      </c>
      <c r="E19" s="42">
        <v>72.25</v>
      </c>
      <c r="F19" s="42">
        <v>72.739999999999995</v>
      </c>
      <c r="G19" s="42" t="e">
        <f>G28/G37*100</f>
        <v>#DIV/0!</v>
      </c>
      <c r="H19" s="3"/>
    </row>
    <row r="20" spans="1:8" x14ac:dyDescent="0.25">
      <c r="A20" s="39"/>
      <c r="B20" s="40" t="s">
        <v>1335</v>
      </c>
      <c r="C20" s="41"/>
      <c r="D20" s="39" t="s">
        <v>9</v>
      </c>
      <c r="E20" s="42">
        <v>3.09</v>
      </c>
      <c r="F20" s="42">
        <f>F29/F38*100</f>
        <v>2.1712907117008444</v>
      </c>
      <c r="G20" s="42" t="e">
        <f>G29/G38*100</f>
        <v>#DIV/0!</v>
      </c>
      <c r="H20" s="3"/>
    </row>
    <row r="21" spans="1:8" x14ac:dyDescent="0.25">
      <c r="A21" s="39"/>
      <c r="B21" s="40" t="s">
        <v>652</v>
      </c>
      <c r="C21" s="41"/>
      <c r="D21" s="39"/>
      <c r="E21" s="47"/>
      <c r="F21" s="47"/>
      <c r="G21" s="47"/>
      <c r="H21" s="3"/>
    </row>
    <row r="22" spans="1:8" x14ac:dyDescent="0.25">
      <c r="A22" s="39"/>
      <c r="B22" s="40" t="s">
        <v>1333</v>
      </c>
      <c r="C22" s="41"/>
      <c r="D22" s="39" t="s">
        <v>9</v>
      </c>
      <c r="E22" s="42">
        <v>0.13</v>
      </c>
      <c r="F22" s="42">
        <v>0.05</v>
      </c>
      <c r="G22" s="42" t="e">
        <f>G31/G37*100</f>
        <v>#DIV/0!</v>
      </c>
      <c r="H22" s="3"/>
    </row>
    <row r="23" spans="1:8" x14ac:dyDescent="0.25">
      <c r="A23" s="39"/>
      <c r="B23" s="40" t="s">
        <v>1335</v>
      </c>
      <c r="C23" s="41"/>
      <c r="D23" s="39" t="s">
        <v>9</v>
      </c>
      <c r="E23" s="42">
        <v>0.61</v>
      </c>
      <c r="F23" s="42">
        <f>F32/F38*100</f>
        <v>0.57297949336550058</v>
      </c>
      <c r="G23" s="42" t="e">
        <f>G32/G38*100</f>
        <v>#DIV/0!</v>
      </c>
      <c r="H23" s="3"/>
    </row>
    <row r="24" spans="1:8" x14ac:dyDescent="0.25">
      <c r="A24" s="39"/>
      <c r="B24" s="40" t="s">
        <v>672</v>
      </c>
      <c r="C24" s="41"/>
      <c r="D24" s="39"/>
      <c r="E24" s="47"/>
      <c r="F24" s="47"/>
      <c r="G24" s="47"/>
      <c r="H24" s="3"/>
    </row>
    <row r="25" spans="1:8" x14ac:dyDescent="0.25">
      <c r="A25" s="39"/>
      <c r="B25" s="40" t="s">
        <v>1333</v>
      </c>
      <c r="C25" s="41"/>
      <c r="D25" s="39" t="s">
        <v>9</v>
      </c>
      <c r="E25" s="42">
        <v>27.61</v>
      </c>
      <c r="F25" s="42">
        <v>27.21</v>
      </c>
      <c r="G25" s="42" t="e">
        <f>G34/G37*100</f>
        <v>#DIV/0!</v>
      </c>
      <c r="H25" s="3"/>
    </row>
    <row r="26" spans="1:8" x14ac:dyDescent="0.25">
      <c r="A26" s="39"/>
      <c r="B26" s="40" t="s">
        <v>1335</v>
      </c>
      <c r="C26" s="41"/>
      <c r="D26" s="39" t="s">
        <v>9</v>
      </c>
      <c r="E26" s="42">
        <v>96.3</v>
      </c>
      <c r="F26" s="42">
        <f>F35/F38*100</f>
        <v>97.255729794933657</v>
      </c>
      <c r="G26" s="42" t="e">
        <f>G35/G38*100</f>
        <v>#DIV/0!</v>
      </c>
      <c r="H26" s="3"/>
    </row>
    <row r="27" spans="1:8" ht="45" x14ac:dyDescent="0.25">
      <c r="A27" s="15"/>
      <c r="B27" s="20" t="s">
        <v>673</v>
      </c>
      <c r="C27" s="6" t="s">
        <v>674</v>
      </c>
      <c r="D27" s="6" t="s">
        <v>1076</v>
      </c>
      <c r="E27" s="10"/>
      <c r="F27" s="10"/>
      <c r="G27" s="10"/>
    </row>
    <row r="28" spans="1:8" x14ac:dyDescent="0.25">
      <c r="A28" s="15"/>
      <c r="B28" s="20" t="s">
        <v>1333</v>
      </c>
      <c r="C28" s="6"/>
      <c r="D28" s="6"/>
      <c r="E28" s="10"/>
      <c r="F28" s="10">
        <v>15423</v>
      </c>
      <c r="G28" s="10"/>
    </row>
    <row r="29" spans="1:8" x14ac:dyDescent="0.25">
      <c r="A29" s="15"/>
      <c r="B29" s="20" t="s">
        <v>1335</v>
      </c>
      <c r="C29" s="6"/>
      <c r="D29" s="6"/>
      <c r="E29" s="10"/>
      <c r="F29" s="10">
        <v>72</v>
      </c>
      <c r="G29" s="10"/>
    </row>
    <row r="30" spans="1:8" ht="45" x14ac:dyDescent="0.25">
      <c r="A30" s="7"/>
      <c r="B30" s="20" t="s">
        <v>675</v>
      </c>
      <c r="C30" s="6" t="s">
        <v>676</v>
      </c>
      <c r="D30" s="6" t="s">
        <v>1076</v>
      </c>
      <c r="E30" s="10"/>
      <c r="F30" s="10"/>
      <c r="G30" s="10"/>
    </row>
    <row r="31" spans="1:8" x14ac:dyDescent="0.25">
      <c r="A31" s="49"/>
      <c r="B31" s="20" t="s">
        <v>1333</v>
      </c>
      <c r="C31" s="6"/>
      <c r="D31" s="6"/>
      <c r="E31" s="10"/>
      <c r="F31" s="10">
        <v>5</v>
      </c>
      <c r="G31" s="10"/>
    </row>
    <row r="32" spans="1:8" x14ac:dyDescent="0.25">
      <c r="A32" s="49"/>
      <c r="B32" s="20" t="s">
        <v>1335</v>
      </c>
      <c r="C32" s="6"/>
      <c r="D32" s="6"/>
      <c r="E32" s="10"/>
      <c r="F32" s="10">
        <v>19</v>
      </c>
      <c r="G32" s="10"/>
    </row>
    <row r="33" spans="1:8" ht="45" customHeight="1" x14ac:dyDescent="0.25">
      <c r="A33" s="83"/>
      <c r="B33" s="83" t="s">
        <v>677</v>
      </c>
      <c r="C33" s="6" t="s">
        <v>678</v>
      </c>
      <c r="D33" s="6" t="s">
        <v>1076</v>
      </c>
      <c r="E33" s="10"/>
      <c r="F33" s="10"/>
      <c r="G33" s="10"/>
    </row>
    <row r="34" spans="1:8" x14ac:dyDescent="0.25">
      <c r="A34" s="84"/>
      <c r="B34" s="20" t="s">
        <v>1333</v>
      </c>
      <c r="C34" s="6"/>
      <c r="D34" s="6"/>
      <c r="E34" s="10"/>
      <c r="F34" s="10">
        <v>15759</v>
      </c>
      <c r="G34" s="10"/>
    </row>
    <row r="35" spans="1:8" x14ac:dyDescent="0.25">
      <c r="A35" s="84"/>
      <c r="B35" s="20" t="s">
        <v>1335</v>
      </c>
      <c r="C35" s="6"/>
      <c r="D35" s="6"/>
      <c r="E35" s="10"/>
      <c r="F35" s="10">
        <v>3225</v>
      </c>
      <c r="G35" s="10"/>
    </row>
    <row r="36" spans="1:8" ht="60" x14ac:dyDescent="0.25">
      <c r="A36" s="7"/>
      <c r="B36" s="20" t="s">
        <v>665</v>
      </c>
      <c r="C36" s="6" t="s">
        <v>659</v>
      </c>
      <c r="D36" s="6" t="s">
        <v>1076</v>
      </c>
      <c r="E36" s="10"/>
      <c r="F36" s="10"/>
      <c r="G36" s="10"/>
    </row>
    <row r="37" spans="1:8" x14ac:dyDescent="0.25">
      <c r="A37" s="7"/>
      <c r="B37" s="20" t="s">
        <v>1333</v>
      </c>
      <c r="C37" s="6"/>
      <c r="D37" s="6"/>
      <c r="E37" s="10"/>
      <c r="F37" s="10">
        <v>31187</v>
      </c>
      <c r="G37" s="10"/>
    </row>
    <row r="38" spans="1:8" x14ac:dyDescent="0.25">
      <c r="A38" s="7"/>
      <c r="B38" s="20" t="s">
        <v>1335</v>
      </c>
      <c r="C38" s="6"/>
      <c r="D38" s="6"/>
      <c r="E38" s="10"/>
      <c r="F38" s="10">
        <v>3316</v>
      </c>
      <c r="G38" s="10"/>
    </row>
    <row r="39" spans="1:8" ht="60" x14ac:dyDescent="0.25">
      <c r="A39" s="39" t="s">
        <v>680</v>
      </c>
      <c r="B39" s="40" t="s">
        <v>679</v>
      </c>
      <c r="C39" s="39"/>
      <c r="D39" s="39"/>
      <c r="E39" s="47"/>
      <c r="F39" s="47"/>
      <c r="G39" s="47"/>
      <c r="H39" s="3" t="s">
        <v>286</v>
      </c>
    </row>
    <row r="40" spans="1:8" x14ac:dyDescent="0.25">
      <c r="A40" s="39"/>
      <c r="B40" s="40" t="s">
        <v>1333</v>
      </c>
      <c r="C40" s="39"/>
      <c r="D40" s="39" t="s">
        <v>9</v>
      </c>
      <c r="E40" s="42">
        <v>41.94</v>
      </c>
      <c r="F40" s="42">
        <v>44.44</v>
      </c>
      <c r="G40" s="42"/>
      <c r="H40" s="3"/>
    </row>
    <row r="41" spans="1:8" x14ac:dyDescent="0.25">
      <c r="A41" s="39"/>
      <c r="B41" s="40" t="s">
        <v>1335</v>
      </c>
      <c r="C41" s="39"/>
      <c r="D41" s="39" t="s">
        <v>9</v>
      </c>
      <c r="E41" s="42">
        <v>100</v>
      </c>
      <c r="F41" s="42">
        <v>100</v>
      </c>
      <c r="G41" s="42"/>
      <c r="H41" s="3"/>
    </row>
    <row r="42" spans="1:8" ht="60" x14ac:dyDescent="0.25">
      <c r="A42" s="7"/>
      <c r="B42" s="20" t="s">
        <v>681</v>
      </c>
      <c r="C42" s="6" t="s">
        <v>682</v>
      </c>
      <c r="D42" s="6" t="s">
        <v>1076</v>
      </c>
      <c r="E42" s="10"/>
      <c r="F42" s="10"/>
      <c r="G42" s="10"/>
    </row>
    <row r="43" spans="1:8" x14ac:dyDescent="0.25">
      <c r="A43" s="7"/>
      <c r="B43" s="20" t="s">
        <v>1333</v>
      </c>
      <c r="C43" s="6"/>
      <c r="D43" s="6"/>
      <c r="E43" s="10"/>
      <c r="F43" s="10">
        <v>12168</v>
      </c>
      <c r="G43" s="10"/>
    </row>
    <row r="44" spans="1:8" x14ac:dyDescent="0.25">
      <c r="A44" s="7"/>
      <c r="B44" s="20" t="s">
        <v>1335</v>
      </c>
      <c r="C44" s="6"/>
      <c r="D44" s="6"/>
      <c r="E44" s="10"/>
      <c r="F44" s="10"/>
      <c r="G44" s="10"/>
    </row>
    <row r="45" spans="1:8" ht="45" customHeight="1" x14ac:dyDescent="0.25">
      <c r="A45" s="7"/>
      <c r="B45" s="20" t="s">
        <v>665</v>
      </c>
      <c r="C45" s="6" t="s">
        <v>683</v>
      </c>
      <c r="D45" s="6" t="s">
        <v>1076</v>
      </c>
      <c r="E45" s="10"/>
      <c r="F45" s="10"/>
      <c r="G45" s="10"/>
      <c r="H45" s="19"/>
    </row>
    <row r="46" spans="1:8" x14ac:dyDescent="0.25">
      <c r="A46" s="7"/>
      <c r="B46" s="20" t="s">
        <v>1333</v>
      </c>
      <c r="C46" s="6"/>
      <c r="D46" s="6"/>
      <c r="E46" s="10"/>
      <c r="F46" s="10">
        <v>31187</v>
      </c>
      <c r="G46" s="10"/>
      <c r="H46" s="19"/>
    </row>
    <row r="47" spans="1:8" x14ac:dyDescent="0.25">
      <c r="A47" s="7"/>
      <c r="B47" s="20" t="s">
        <v>1335</v>
      </c>
      <c r="C47" s="6"/>
      <c r="D47" s="6"/>
      <c r="E47" s="10"/>
      <c r="F47" s="10">
        <v>3316</v>
      </c>
      <c r="G47" s="10"/>
      <c r="H47" s="19"/>
    </row>
    <row r="48" spans="1:8" ht="75" x14ac:dyDescent="0.25">
      <c r="A48" s="39" t="s">
        <v>684</v>
      </c>
      <c r="B48" s="40" t="s">
        <v>685</v>
      </c>
      <c r="C48" s="39"/>
      <c r="D48" s="39"/>
      <c r="E48" s="46"/>
      <c r="F48" s="46"/>
      <c r="G48" s="46"/>
      <c r="H48" s="3" t="s">
        <v>286</v>
      </c>
    </row>
    <row r="49" spans="1:7" x14ac:dyDescent="0.25">
      <c r="A49" s="41"/>
      <c r="B49" s="40" t="s">
        <v>686</v>
      </c>
      <c r="C49" s="39"/>
      <c r="D49" s="39"/>
      <c r="E49" s="47"/>
      <c r="F49" s="47"/>
      <c r="G49" s="47"/>
    </row>
    <row r="50" spans="1:7" x14ac:dyDescent="0.25">
      <c r="A50" s="41"/>
      <c r="B50" s="40" t="s">
        <v>1333</v>
      </c>
      <c r="C50" s="39"/>
      <c r="D50" s="39" t="s">
        <v>9</v>
      </c>
      <c r="E50" s="42">
        <v>0</v>
      </c>
      <c r="F50" s="42">
        <v>0</v>
      </c>
      <c r="G50" s="42"/>
    </row>
    <row r="51" spans="1:7" x14ac:dyDescent="0.25">
      <c r="A51" s="41"/>
      <c r="B51" s="40" t="s">
        <v>1335</v>
      </c>
      <c r="C51" s="39"/>
      <c r="D51" s="39" t="s">
        <v>9</v>
      </c>
      <c r="E51" s="42">
        <v>0</v>
      </c>
      <c r="F51" s="42">
        <v>1.79</v>
      </c>
      <c r="G51" s="42"/>
    </row>
    <row r="52" spans="1:7" x14ac:dyDescent="0.25">
      <c r="A52" s="41"/>
      <c r="B52" s="40" t="s">
        <v>689</v>
      </c>
      <c r="C52" s="39"/>
      <c r="D52" s="39"/>
      <c r="E52" s="47"/>
      <c r="F52" s="47"/>
      <c r="G52" s="47"/>
    </row>
    <row r="53" spans="1:7" x14ac:dyDescent="0.25">
      <c r="A53" s="41"/>
      <c r="B53" s="40" t="s">
        <v>1333</v>
      </c>
      <c r="C53" s="39"/>
      <c r="D53" s="39" t="s">
        <v>9</v>
      </c>
      <c r="E53" s="42">
        <v>0</v>
      </c>
      <c r="F53" s="42">
        <v>0</v>
      </c>
      <c r="G53" s="42"/>
    </row>
    <row r="54" spans="1:7" x14ac:dyDescent="0.25">
      <c r="A54" s="41"/>
      <c r="B54" s="40" t="s">
        <v>1335</v>
      </c>
      <c r="C54" s="39"/>
      <c r="D54" s="39" t="s">
        <v>9</v>
      </c>
      <c r="E54" s="42">
        <v>0</v>
      </c>
      <c r="F54" s="42">
        <v>0</v>
      </c>
      <c r="G54" s="42"/>
    </row>
    <row r="55" spans="1:7" x14ac:dyDescent="0.25">
      <c r="A55" s="41"/>
      <c r="B55" s="40" t="s">
        <v>690</v>
      </c>
      <c r="C55" s="39"/>
      <c r="D55" s="39"/>
      <c r="E55" s="47"/>
      <c r="F55" s="47"/>
      <c r="G55" s="47"/>
    </row>
    <row r="56" spans="1:7" x14ac:dyDescent="0.25">
      <c r="A56" s="41"/>
      <c r="B56" s="40" t="s">
        <v>1333</v>
      </c>
      <c r="C56" s="39"/>
      <c r="D56" s="39" t="s">
        <v>9</v>
      </c>
      <c r="E56" s="42">
        <v>0</v>
      </c>
      <c r="F56" s="42">
        <v>0</v>
      </c>
      <c r="G56" s="42"/>
    </row>
    <row r="57" spans="1:7" x14ac:dyDescent="0.25">
      <c r="A57" s="41"/>
      <c r="B57" s="40" t="s">
        <v>1335</v>
      </c>
      <c r="C57" s="39"/>
      <c r="D57" s="39" t="s">
        <v>9</v>
      </c>
      <c r="E57" s="42">
        <v>0</v>
      </c>
      <c r="F57" s="42">
        <v>0</v>
      </c>
      <c r="G57" s="42"/>
    </row>
    <row r="58" spans="1:7" ht="60" x14ac:dyDescent="0.25">
      <c r="A58" s="7"/>
      <c r="B58" s="20" t="s">
        <v>687</v>
      </c>
      <c r="C58" s="6" t="s">
        <v>688</v>
      </c>
      <c r="D58" s="6" t="s">
        <v>1076</v>
      </c>
      <c r="E58" s="10"/>
      <c r="F58" s="10"/>
      <c r="G58" s="10"/>
    </row>
    <row r="59" spans="1:7" ht="60" x14ac:dyDescent="0.25">
      <c r="A59" s="7"/>
      <c r="B59" s="20" t="s">
        <v>691</v>
      </c>
      <c r="C59" s="6" t="s">
        <v>692</v>
      </c>
      <c r="D59" s="6" t="s">
        <v>1076</v>
      </c>
      <c r="E59" s="10"/>
      <c r="F59" s="10"/>
      <c r="G59" s="10"/>
    </row>
    <row r="60" spans="1:7" ht="60" x14ac:dyDescent="0.25">
      <c r="A60" s="7"/>
      <c r="B60" s="20" t="s">
        <v>693</v>
      </c>
      <c r="C60" s="6" t="s">
        <v>694</v>
      </c>
      <c r="D60" s="6" t="s">
        <v>1076</v>
      </c>
      <c r="E60" s="10"/>
      <c r="F60" s="10"/>
      <c r="G60" s="10"/>
    </row>
    <row r="61" spans="1:7" ht="60" x14ac:dyDescent="0.25">
      <c r="A61" s="7"/>
      <c r="B61" s="20" t="s">
        <v>698</v>
      </c>
      <c r="C61" s="6" t="s">
        <v>695</v>
      </c>
      <c r="D61" s="6" t="s">
        <v>1076</v>
      </c>
      <c r="E61" s="10"/>
      <c r="F61" s="10"/>
      <c r="G61" s="10"/>
    </row>
    <row r="62" spans="1:7" ht="60" x14ac:dyDescent="0.25">
      <c r="A62" s="7"/>
      <c r="B62" s="20" t="s">
        <v>699</v>
      </c>
      <c r="C62" s="6" t="s">
        <v>696</v>
      </c>
      <c r="D62" s="6" t="s">
        <v>1076</v>
      </c>
      <c r="E62" s="10"/>
      <c r="F62" s="10"/>
      <c r="G62" s="10"/>
    </row>
    <row r="63" spans="1:7" ht="60" x14ac:dyDescent="0.25">
      <c r="A63" s="7"/>
      <c r="B63" s="20" t="s">
        <v>700</v>
      </c>
      <c r="C63" s="6" t="s">
        <v>697</v>
      </c>
      <c r="D63" s="6" t="s">
        <v>1076</v>
      </c>
      <c r="E63" s="10"/>
      <c r="F63" s="10"/>
      <c r="G63" s="10"/>
    </row>
    <row r="64" spans="1:7" ht="60" x14ac:dyDescent="0.25">
      <c r="A64" s="44" t="s">
        <v>702</v>
      </c>
      <c r="B64" s="45" t="s">
        <v>701</v>
      </c>
      <c r="C64" s="41"/>
      <c r="D64" s="41"/>
      <c r="E64" s="41"/>
      <c r="F64" s="41"/>
      <c r="G64" s="41"/>
    </row>
    <row r="65" spans="1:8" ht="75" x14ac:dyDescent="0.25">
      <c r="A65" s="39" t="s">
        <v>703</v>
      </c>
      <c r="B65" s="40" t="s">
        <v>1292</v>
      </c>
      <c r="C65" s="41"/>
      <c r="D65" s="39"/>
      <c r="E65" s="47"/>
      <c r="F65" s="47"/>
      <c r="G65" s="47"/>
      <c r="H65" s="3" t="s">
        <v>286</v>
      </c>
    </row>
    <row r="66" spans="1:8" x14ac:dyDescent="0.25">
      <c r="A66" s="39"/>
      <c r="B66" s="43" t="s">
        <v>1293</v>
      </c>
      <c r="C66" s="41"/>
      <c r="D66" s="39"/>
      <c r="E66" s="47"/>
      <c r="F66" s="47"/>
      <c r="G66" s="47"/>
      <c r="H66" s="3"/>
    </row>
    <row r="67" spans="1:8" x14ac:dyDescent="0.25">
      <c r="A67" s="39"/>
      <c r="B67" s="40" t="s">
        <v>1333</v>
      </c>
      <c r="C67" s="41"/>
      <c r="D67" s="39" t="s">
        <v>9</v>
      </c>
      <c r="E67" s="42">
        <v>14.45</v>
      </c>
      <c r="F67" s="42">
        <v>14.33</v>
      </c>
      <c r="G67" s="42"/>
      <c r="H67" s="3"/>
    </row>
    <row r="68" spans="1:8" x14ac:dyDescent="0.25">
      <c r="A68" s="39"/>
      <c r="B68" s="40" t="s">
        <v>1335</v>
      </c>
      <c r="C68" s="41"/>
      <c r="D68" s="39" t="s">
        <v>9</v>
      </c>
      <c r="E68" s="42">
        <v>8.4</v>
      </c>
      <c r="F68" s="42">
        <v>12.5</v>
      </c>
      <c r="G68" s="42"/>
      <c r="H68" s="3"/>
    </row>
    <row r="69" spans="1:8" x14ac:dyDescent="0.25">
      <c r="A69" s="39"/>
      <c r="B69" s="43" t="s">
        <v>1294</v>
      </c>
      <c r="C69" s="41"/>
      <c r="D69" s="39"/>
      <c r="E69" s="47"/>
      <c r="F69" s="47"/>
      <c r="G69" s="47"/>
      <c r="H69" s="3"/>
    </row>
    <row r="70" spans="1:8" x14ac:dyDescent="0.25">
      <c r="A70" s="39"/>
      <c r="B70" s="40" t="s">
        <v>1333</v>
      </c>
      <c r="C70" s="41"/>
      <c r="D70" s="39" t="s">
        <v>9</v>
      </c>
      <c r="E70" s="42">
        <v>56.35</v>
      </c>
      <c r="F70" s="42">
        <v>57.89</v>
      </c>
      <c r="G70" s="42"/>
      <c r="H70" s="3"/>
    </row>
    <row r="71" spans="1:8" x14ac:dyDescent="0.25">
      <c r="A71" s="39"/>
      <c r="B71" s="40" t="s">
        <v>1335</v>
      </c>
      <c r="C71" s="41"/>
      <c r="D71" s="39" t="s">
        <v>9</v>
      </c>
      <c r="E71" s="42">
        <v>52.94</v>
      </c>
      <c r="F71" s="42">
        <v>70.19</v>
      </c>
      <c r="G71" s="42"/>
      <c r="H71" s="3"/>
    </row>
    <row r="72" spans="1:8" ht="90" x14ac:dyDescent="0.25">
      <c r="A72" s="7"/>
      <c r="B72" s="20" t="s">
        <v>704</v>
      </c>
      <c r="C72" s="6" t="s">
        <v>705</v>
      </c>
      <c r="D72" s="6" t="s">
        <v>1076</v>
      </c>
      <c r="E72" s="10"/>
      <c r="F72" s="10"/>
      <c r="G72" s="10"/>
      <c r="H72" s="3"/>
    </row>
    <row r="73" spans="1:8" ht="90" x14ac:dyDescent="0.25">
      <c r="A73" s="7"/>
      <c r="B73" s="20" t="s">
        <v>706</v>
      </c>
      <c r="C73" s="6" t="s">
        <v>707</v>
      </c>
      <c r="D73" s="6" t="s">
        <v>1076</v>
      </c>
      <c r="E73" s="10"/>
      <c r="F73" s="10"/>
      <c r="G73" s="10"/>
    </row>
    <row r="74" spans="1:8" ht="90" x14ac:dyDescent="0.25">
      <c r="A74" s="7"/>
      <c r="B74" s="20" t="s">
        <v>708</v>
      </c>
      <c r="C74" s="6" t="s">
        <v>709</v>
      </c>
      <c r="D74" s="6" t="s">
        <v>1076</v>
      </c>
      <c r="E74" s="10"/>
      <c r="F74" s="10"/>
      <c r="G74" s="10"/>
    </row>
    <row r="75" spans="1:8" ht="75" x14ac:dyDescent="0.25">
      <c r="A75" s="39" t="s">
        <v>711</v>
      </c>
      <c r="B75" s="40" t="s">
        <v>710</v>
      </c>
      <c r="C75" s="41"/>
      <c r="D75" s="39"/>
      <c r="E75" s="47"/>
      <c r="F75" s="47"/>
      <c r="G75" s="47"/>
      <c r="H75" s="3" t="s">
        <v>286</v>
      </c>
    </row>
    <row r="76" spans="1:8" x14ac:dyDescent="0.25">
      <c r="A76" s="50"/>
      <c r="B76" s="40" t="s">
        <v>1333</v>
      </c>
      <c r="C76" s="41"/>
      <c r="D76" s="39" t="s">
        <v>9</v>
      </c>
      <c r="E76" s="42">
        <v>11.68</v>
      </c>
      <c r="F76" s="42">
        <v>13.01</v>
      </c>
      <c r="G76" s="42"/>
      <c r="H76" s="3"/>
    </row>
    <row r="77" spans="1:8" x14ac:dyDescent="0.25">
      <c r="A77" s="50"/>
      <c r="B77" s="40" t="s">
        <v>1335</v>
      </c>
      <c r="C77" s="41"/>
      <c r="D77" s="39" t="s">
        <v>9</v>
      </c>
      <c r="E77" s="42">
        <v>5.04</v>
      </c>
      <c r="F77" s="42">
        <v>3.85</v>
      </c>
      <c r="G77" s="42"/>
      <c r="H77" s="3"/>
    </row>
    <row r="78" spans="1:8" ht="48.75" customHeight="1" x14ac:dyDescent="0.25">
      <c r="A78" s="443"/>
      <c r="B78" s="443" t="s">
        <v>712</v>
      </c>
      <c r="C78" s="6" t="s">
        <v>1325</v>
      </c>
      <c r="D78" s="6" t="s">
        <v>1076</v>
      </c>
      <c r="E78" s="10"/>
      <c r="F78" s="10"/>
      <c r="G78" s="10"/>
      <c r="H78" s="3"/>
    </row>
    <row r="79" spans="1:8" ht="48.75" customHeight="1" x14ac:dyDescent="0.25">
      <c r="A79" s="444"/>
      <c r="B79" s="444"/>
      <c r="C79" s="6" t="s">
        <v>713</v>
      </c>
      <c r="D79" s="6" t="s">
        <v>1076</v>
      </c>
      <c r="E79" s="10"/>
      <c r="F79" s="10"/>
      <c r="G79" s="10"/>
      <c r="H79" s="3"/>
    </row>
    <row r="80" spans="1:8" ht="90" x14ac:dyDescent="0.25">
      <c r="A80" s="22"/>
      <c r="B80" s="20" t="s">
        <v>708</v>
      </c>
      <c r="C80" s="6" t="s">
        <v>714</v>
      </c>
      <c r="D80" s="6" t="s">
        <v>1076</v>
      </c>
      <c r="E80" s="10"/>
      <c r="F80" s="10"/>
      <c r="G80" s="10"/>
    </row>
    <row r="81" spans="1:8" ht="90" x14ac:dyDescent="0.25">
      <c r="A81" s="39" t="s">
        <v>716</v>
      </c>
      <c r="B81" s="40" t="s">
        <v>715</v>
      </c>
      <c r="C81" s="39"/>
      <c r="D81" s="39"/>
      <c r="E81" s="47"/>
      <c r="F81" s="47"/>
      <c r="G81" s="47"/>
      <c r="H81" s="3" t="s">
        <v>286</v>
      </c>
    </row>
    <row r="82" spans="1:8" x14ac:dyDescent="0.25">
      <c r="A82" s="51"/>
      <c r="B82" s="40" t="s">
        <v>1333</v>
      </c>
      <c r="C82" s="39"/>
      <c r="D82" s="39" t="s">
        <v>1076</v>
      </c>
      <c r="E82" s="42">
        <v>35.18</v>
      </c>
      <c r="F82" s="42">
        <v>41.08</v>
      </c>
      <c r="G82" s="42"/>
      <c r="H82" s="3"/>
    </row>
    <row r="83" spans="1:8" x14ac:dyDescent="0.25">
      <c r="A83" s="51"/>
      <c r="B83" s="40" t="s">
        <v>1335</v>
      </c>
      <c r="C83" s="39"/>
      <c r="D83" s="39" t="s">
        <v>1076</v>
      </c>
      <c r="E83" s="42">
        <v>48.74</v>
      </c>
      <c r="F83" s="42">
        <v>47.12</v>
      </c>
      <c r="G83" s="42"/>
      <c r="H83" s="3"/>
    </row>
    <row r="84" spans="1:8" ht="75" x14ac:dyDescent="0.25">
      <c r="A84" s="18"/>
      <c r="B84" s="20" t="s">
        <v>717</v>
      </c>
      <c r="C84" s="6" t="s">
        <v>718</v>
      </c>
      <c r="D84" s="6" t="s">
        <v>1076</v>
      </c>
      <c r="E84" s="10"/>
      <c r="F84" s="10"/>
      <c r="G84" s="10"/>
      <c r="H84" s="3"/>
    </row>
    <row r="85" spans="1:8" ht="90" x14ac:dyDescent="0.25">
      <c r="A85" s="18"/>
      <c r="B85" s="20" t="s">
        <v>708</v>
      </c>
      <c r="C85" s="6" t="s">
        <v>1326</v>
      </c>
      <c r="D85" s="6" t="s">
        <v>1076</v>
      </c>
      <c r="E85" s="10"/>
      <c r="F85" s="10"/>
      <c r="G85" s="10"/>
      <c r="H85" s="3"/>
    </row>
    <row r="86" spans="1:8" ht="60" x14ac:dyDescent="0.25">
      <c r="A86" s="39" t="s">
        <v>720</v>
      </c>
      <c r="B86" s="40" t="s">
        <v>719</v>
      </c>
      <c r="C86" s="39"/>
      <c r="D86" s="39"/>
      <c r="E86" s="47"/>
      <c r="F86" s="47"/>
      <c r="G86" s="47"/>
      <c r="H86" s="3" t="s">
        <v>286</v>
      </c>
    </row>
    <row r="87" spans="1:8" x14ac:dyDescent="0.25">
      <c r="A87" s="51"/>
      <c r="B87" s="40" t="s">
        <v>1333</v>
      </c>
      <c r="C87" s="39"/>
      <c r="D87" s="39" t="s">
        <v>1076</v>
      </c>
      <c r="E87" s="42">
        <v>10.87</v>
      </c>
      <c r="F87" s="42">
        <v>11.33</v>
      </c>
      <c r="G87" s="42"/>
      <c r="H87" s="3"/>
    </row>
    <row r="88" spans="1:8" x14ac:dyDescent="0.25">
      <c r="A88" s="51"/>
      <c r="B88" s="40" t="s">
        <v>1335</v>
      </c>
      <c r="C88" s="39"/>
      <c r="D88" s="39" t="s">
        <v>1076</v>
      </c>
      <c r="E88" s="42">
        <v>4.41</v>
      </c>
      <c r="F88" s="42">
        <v>3.84</v>
      </c>
      <c r="G88" s="42"/>
      <c r="H88" s="3"/>
    </row>
    <row r="89" spans="1:8" ht="45" x14ac:dyDescent="0.25">
      <c r="A89" s="18"/>
      <c r="B89" s="20" t="s">
        <v>673</v>
      </c>
      <c r="C89" s="6" t="s">
        <v>721</v>
      </c>
      <c r="D89" s="6" t="s">
        <v>1076</v>
      </c>
      <c r="E89" s="10"/>
      <c r="F89" s="10"/>
      <c r="G89" s="10"/>
      <c r="H89" s="19"/>
    </row>
    <row r="90" spans="1:8" ht="60" x14ac:dyDescent="0.25">
      <c r="A90" s="18"/>
      <c r="B90" s="20" t="s">
        <v>722</v>
      </c>
      <c r="C90" s="6" t="s">
        <v>723</v>
      </c>
      <c r="D90" s="6" t="s">
        <v>1076</v>
      </c>
      <c r="E90" s="10"/>
      <c r="F90" s="10"/>
      <c r="G90" s="10"/>
    </row>
    <row r="91" spans="1:8" ht="45" x14ac:dyDescent="0.25">
      <c r="A91" s="443"/>
      <c r="B91" s="443" t="s">
        <v>724</v>
      </c>
      <c r="C91" s="6" t="s">
        <v>725</v>
      </c>
      <c r="D91" s="6" t="s">
        <v>1076</v>
      </c>
      <c r="E91" s="10"/>
      <c r="F91" s="10"/>
      <c r="G91" s="10"/>
    </row>
    <row r="92" spans="1:8" ht="45" x14ac:dyDescent="0.25">
      <c r="A92" s="444"/>
      <c r="B92" s="444"/>
      <c r="C92" s="6" t="s">
        <v>726</v>
      </c>
      <c r="D92" s="6" t="s">
        <v>1076</v>
      </c>
      <c r="E92" s="10"/>
      <c r="F92" s="10"/>
      <c r="G92" s="10"/>
      <c r="H92" s="19"/>
    </row>
    <row r="93" spans="1:8" ht="90" x14ac:dyDescent="0.25">
      <c r="A93" s="26"/>
      <c r="B93" s="20" t="s">
        <v>708</v>
      </c>
      <c r="C93" s="6" t="s">
        <v>714</v>
      </c>
      <c r="D93" s="6" t="s">
        <v>1076</v>
      </c>
      <c r="E93" s="10"/>
      <c r="F93" s="10"/>
      <c r="G93" s="10"/>
      <c r="H93" s="19"/>
    </row>
    <row r="94" spans="1:8" ht="60" x14ac:dyDescent="0.25">
      <c r="A94" s="39" t="s">
        <v>728</v>
      </c>
      <c r="B94" s="40" t="s">
        <v>727</v>
      </c>
      <c r="C94" s="39"/>
      <c r="D94" s="39" t="s">
        <v>9</v>
      </c>
      <c r="E94" s="47" t="e">
        <f>(E95/E96/12*1000)/E97*100</f>
        <v>#DIV/0!</v>
      </c>
      <c r="F94" s="42">
        <v>159.85</v>
      </c>
      <c r="G94" s="47"/>
      <c r="H94" s="3" t="s">
        <v>24</v>
      </c>
    </row>
    <row r="95" spans="1:8" ht="75" x14ac:dyDescent="0.25">
      <c r="A95" s="26"/>
      <c r="B95" s="20" t="s">
        <v>729</v>
      </c>
      <c r="C95" s="6" t="s">
        <v>730</v>
      </c>
      <c r="D95" s="6" t="s">
        <v>1270</v>
      </c>
      <c r="E95" s="10"/>
      <c r="F95" s="10"/>
      <c r="G95" s="10"/>
      <c r="H95" s="3"/>
    </row>
    <row r="96" spans="1:8" ht="60" x14ac:dyDescent="0.25">
      <c r="A96" s="26"/>
      <c r="B96" s="20" t="s">
        <v>731</v>
      </c>
      <c r="C96" s="6" t="s">
        <v>732</v>
      </c>
      <c r="D96" s="6" t="s">
        <v>1076</v>
      </c>
      <c r="E96" s="10"/>
      <c r="F96" s="10"/>
      <c r="G96" s="10"/>
      <c r="H96" s="19"/>
    </row>
    <row r="97" spans="1:8" ht="30" x14ac:dyDescent="0.25">
      <c r="A97" s="26"/>
      <c r="B97" s="20" t="s">
        <v>455</v>
      </c>
      <c r="C97" s="6" t="s">
        <v>733</v>
      </c>
      <c r="D97" s="6" t="s">
        <v>1270</v>
      </c>
      <c r="E97" s="10"/>
      <c r="F97" s="10"/>
      <c r="G97" s="10"/>
      <c r="H97" s="19"/>
    </row>
    <row r="98" spans="1:8" ht="60" x14ac:dyDescent="0.25">
      <c r="A98" s="56" t="s">
        <v>734</v>
      </c>
      <c r="B98" s="57" t="s">
        <v>735</v>
      </c>
      <c r="C98" s="56"/>
      <c r="D98" s="56" t="s">
        <v>9</v>
      </c>
      <c r="E98" s="48" t="e">
        <f>E99/E100*100</f>
        <v>#DIV/0!</v>
      </c>
      <c r="F98" s="48" t="e">
        <f>F99/F100*100</f>
        <v>#DIV/0!</v>
      </c>
      <c r="G98" s="48" t="e">
        <f>G99/G100*100</f>
        <v>#DIV/0!</v>
      </c>
      <c r="H98" s="3" t="s">
        <v>106</v>
      </c>
    </row>
    <row r="99" spans="1:8" ht="105" x14ac:dyDescent="0.25">
      <c r="A99" s="60"/>
      <c r="B99" s="60" t="s">
        <v>736</v>
      </c>
      <c r="C99" s="35" t="s">
        <v>737</v>
      </c>
      <c r="D99" s="35" t="s">
        <v>1076</v>
      </c>
      <c r="E99" s="36"/>
      <c r="F99" s="36"/>
      <c r="G99" s="36"/>
      <c r="H99" s="19"/>
    </row>
    <row r="100" spans="1:8" ht="105" x14ac:dyDescent="0.25">
      <c r="A100" s="60"/>
      <c r="B100" s="60" t="s">
        <v>738</v>
      </c>
      <c r="C100" s="35" t="s">
        <v>737</v>
      </c>
      <c r="D100" s="35" t="s">
        <v>1076</v>
      </c>
      <c r="E100" s="36"/>
      <c r="F100" s="36"/>
      <c r="G100" s="36"/>
    </row>
    <row r="101" spans="1:8" ht="75" x14ac:dyDescent="0.25">
      <c r="A101" s="56" t="s">
        <v>739</v>
      </c>
      <c r="B101" s="57" t="s">
        <v>740</v>
      </c>
      <c r="C101" s="56"/>
      <c r="D101" s="56" t="s">
        <v>9</v>
      </c>
      <c r="E101" s="48" t="e">
        <f>E102/E103*100</f>
        <v>#DIV/0!</v>
      </c>
      <c r="F101" s="48" t="e">
        <f>F102/F103*100</f>
        <v>#DIV/0!</v>
      </c>
      <c r="G101" s="48" t="e">
        <f>G102/G103*100</f>
        <v>#DIV/0!</v>
      </c>
      <c r="H101" s="3" t="s">
        <v>106</v>
      </c>
    </row>
    <row r="102" spans="1:8" ht="105" x14ac:dyDescent="0.25">
      <c r="A102" s="68"/>
      <c r="B102" s="60" t="s">
        <v>741</v>
      </c>
      <c r="C102" s="35" t="s">
        <v>737</v>
      </c>
      <c r="D102" s="35" t="s">
        <v>1076</v>
      </c>
      <c r="E102" s="36"/>
      <c r="F102" s="36"/>
      <c r="G102" s="36"/>
    </row>
    <row r="103" spans="1:8" ht="105" x14ac:dyDescent="0.25">
      <c r="A103" s="68"/>
      <c r="B103" s="60" t="s">
        <v>742</v>
      </c>
      <c r="C103" s="35" t="s">
        <v>737</v>
      </c>
      <c r="D103" s="35" t="s">
        <v>1076</v>
      </c>
      <c r="E103" s="36"/>
      <c r="F103" s="36"/>
      <c r="G103" s="36"/>
    </row>
    <row r="104" spans="1:8" ht="60" x14ac:dyDescent="0.25">
      <c r="A104" s="44" t="s">
        <v>743</v>
      </c>
      <c r="B104" s="45" t="s">
        <v>744</v>
      </c>
      <c r="C104" s="41"/>
      <c r="D104" s="39"/>
      <c r="E104" s="41"/>
      <c r="F104" s="41"/>
      <c r="G104" s="41"/>
    </row>
    <row r="105" spans="1:8" ht="60" x14ac:dyDescent="0.25">
      <c r="A105" s="39" t="s">
        <v>746</v>
      </c>
      <c r="B105" s="40" t="s">
        <v>745</v>
      </c>
      <c r="C105" s="41"/>
      <c r="D105" s="39"/>
      <c r="E105" s="47"/>
      <c r="F105" s="47"/>
      <c r="G105" s="47"/>
      <c r="H105" s="3" t="s">
        <v>286</v>
      </c>
    </row>
    <row r="106" spans="1:8" x14ac:dyDescent="0.25">
      <c r="A106" s="39"/>
      <c r="B106" s="40" t="s">
        <v>1333</v>
      </c>
      <c r="C106" s="41"/>
      <c r="D106" s="39" t="s">
        <v>9</v>
      </c>
      <c r="E106" s="42">
        <v>68.52</v>
      </c>
      <c r="F106" s="42">
        <v>68.83</v>
      </c>
      <c r="G106" s="42"/>
      <c r="H106" s="3"/>
    </row>
    <row r="107" spans="1:8" x14ac:dyDescent="0.25">
      <c r="A107" s="39"/>
      <c r="B107" s="40" t="s">
        <v>1335</v>
      </c>
      <c r="C107" s="41"/>
      <c r="D107" s="39" t="s">
        <v>9</v>
      </c>
      <c r="E107" s="42">
        <v>0</v>
      </c>
      <c r="F107" s="42">
        <v>100</v>
      </c>
      <c r="G107" s="42"/>
      <c r="H107" s="3"/>
    </row>
    <row r="108" spans="1:8" ht="60" x14ac:dyDescent="0.25">
      <c r="A108" s="6"/>
      <c r="B108" s="20" t="s">
        <v>747</v>
      </c>
      <c r="C108" s="6" t="s">
        <v>748</v>
      </c>
      <c r="D108" s="6" t="s">
        <v>1076</v>
      </c>
      <c r="E108" s="10"/>
      <c r="F108" s="10"/>
      <c r="G108" s="10"/>
      <c r="H108" s="19"/>
    </row>
    <row r="109" spans="1:8" ht="45" x14ac:dyDescent="0.25">
      <c r="A109" s="6"/>
      <c r="B109" s="20" t="s">
        <v>749</v>
      </c>
      <c r="C109" s="6" t="s">
        <v>750</v>
      </c>
      <c r="D109" s="6" t="s">
        <v>1076</v>
      </c>
      <c r="E109" s="10"/>
      <c r="F109" s="10"/>
      <c r="G109" s="10"/>
    </row>
    <row r="110" spans="1:8" ht="60" x14ac:dyDescent="0.25">
      <c r="A110" s="39" t="s">
        <v>751</v>
      </c>
      <c r="B110" s="40" t="s">
        <v>752</v>
      </c>
      <c r="C110" s="41"/>
      <c r="D110" s="39"/>
      <c r="E110" s="47"/>
      <c r="F110" s="47"/>
      <c r="G110" s="47"/>
      <c r="H110" s="3" t="s">
        <v>286</v>
      </c>
    </row>
    <row r="111" spans="1:8" x14ac:dyDescent="0.25">
      <c r="A111" s="39"/>
      <c r="B111" s="40" t="s">
        <v>1333</v>
      </c>
      <c r="C111" s="41"/>
      <c r="D111" s="39" t="s">
        <v>9</v>
      </c>
      <c r="E111" s="42">
        <v>76.84</v>
      </c>
      <c r="F111" s="42">
        <v>73.680000000000007</v>
      </c>
      <c r="G111" s="42"/>
      <c r="H111" s="3"/>
    </row>
    <row r="112" spans="1:8" x14ac:dyDescent="0.25">
      <c r="A112" s="39"/>
      <c r="B112" s="40" t="s">
        <v>1335</v>
      </c>
      <c r="C112" s="41"/>
      <c r="D112" s="39" t="s">
        <v>9</v>
      </c>
      <c r="E112" s="42">
        <v>831.3</v>
      </c>
      <c r="F112" s="42">
        <v>1056.19</v>
      </c>
      <c r="G112" s="42"/>
      <c r="H112" s="3"/>
    </row>
    <row r="113" spans="1:9" ht="75" x14ac:dyDescent="0.25">
      <c r="A113" s="6"/>
      <c r="B113" s="20" t="s">
        <v>753</v>
      </c>
      <c r="C113" s="6" t="s">
        <v>754</v>
      </c>
      <c r="D113" s="6" t="s">
        <v>1321</v>
      </c>
      <c r="E113" s="10"/>
      <c r="F113" s="10"/>
      <c r="G113" s="10"/>
      <c r="H113" s="3"/>
    </row>
    <row r="114" spans="1:9" ht="45" x14ac:dyDescent="0.25">
      <c r="A114" s="6"/>
      <c r="B114" s="20" t="s">
        <v>755</v>
      </c>
      <c r="C114" s="6" t="s">
        <v>756</v>
      </c>
      <c r="D114" s="6" t="s">
        <v>1076</v>
      </c>
      <c r="E114" s="10"/>
      <c r="F114" s="10"/>
      <c r="G114" s="10"/>
      <c r="H114" s="3"/>
    </row>
    <row r="115" spans="1:9" ht="60" x14ac:dyDescent="0.25">
      <c r="A115" s="39" t="s">
        <v>1295</v>
      </c>
      <c r="B115" s="40" t="s">
        <v>757</v>
      </c>
      <c r="C115" s="41"/>
      <c r="D115" s="39"/>
      <c r="E115" s="47"/>
      <c r="F115" s="47"/>
      <c r="G115" s="47"/>
      <c r="H115" s="3" t="s">
        <v>286</v>
      </c>
    </row>
    <row r="116" spans="1:9" x14ac:dyDescent="0.25">
      <c r="A116" s="50"/>
      <c r="B116" s="40" t="s">
        <v>186</v>
      </c>
      <c r="C116" s="41"/>
      <c r="D116" s="39"/>
      <c r="E116" s="47"/>
      <c r="F116" s="47"/>
      <c r="G116" s="47"/>
      <c r="H116" s="3"/>
    </row>
    <row r="117" spans="1:9" x14ac:dyDescent="0.25">
      <c r="A117" s="50"/>
      <c r="B117" s="40" t="s">
        <v>1333</v>
      </c>
      <c r="C117" s="41"/>
      <c r="D117" s="39" t="s">
        <v>1268</v>
      </c>
      <c r="E117" s="42">
        <v>20.77</v>
      </c>
      <c r="F117" s="42">
        <v>21.61</v>
      </c>
      <c r="G117" s="42"/>
      <c r="H117" s="3"/>
    </row>
    <row r="118" spans="1:9" x14ac:dyDescent="0.25">
      <c r="A118" s="50"/>
      <c r="B118" s="40" t="s">
        <v>1335</v>
      </c>
      <c r="C118" s="41"/>
      <c r="D118" s="39" t="s">
        <v>1268</v>
      </c>
      <c r="E118" s="42">
        <v>55.63</v>
      </c>
      <c r="F118" s="42">
        <v>68.38</v>
      </c>
      <c r="G118" s="42"/>
      <c r="H118" s="3"/>
    </row>
    <row r="119" spans="1:9" x14ac:dyDescent="0.25">
      <c r="A119" s="50"/>
      <c r="B119" s="40" t="s">
        <v>220</v>
      </c>
      <c r="C119" s="41"/>
      <c r="D119" s="39"/>
      <c r="E119" s="47"/>
      <c r="F119" s="47"/>
      <c r="G119" s="47"/>
      <c r="H119" s="3"/>
    </row>
    <row r="120" spans="1:9" x14ac:dyDescent="0.25">
      <c r="A120" s="50"/>
      <c r="B120" s="40" t="s">
        <v>1333</v>
      </c>
      <c r="C120" s="41"/>
      <c r="D120" s="39" t="s">
        <v>1268</v>
      </c>
      <c r="E120" s="42">
        <v>17.21</v>
      </c>
      <c r="F120" s="42">
        <v>17.989999999999998</v>
      </c>
      <c r="G120" s="42"/>
      <c r="H120" s="3"/>
    </row>
    <row r="121" spans="1:9" x14ac:dyDescent="0.25">
      <c r="A121" s="50"/>
      <c r="B121" s="40" t="s">
        <v>1335</v>
      </c>
      <c r="C121" s="41"/>
      <c r="D121" s="39" t="s">
        <v>1268</v>
      </c>
      <c r="E121" s="42">
        <v>55.63</v>
      </c>
      <c r="F121" s="42">
        <v>68.38</v>
      </c>
      <c r="G121" s="42"/>
      <c r="H121" s="3"/>
    </row>
    <row r="122" spans="1:9" ht="45" x14ac:dyDescent="0.25">
      <c r="A122" s="22"/>
      <c r="B122" s="20" t="s">
        <v>759</v>
      </c>
      <c r="C122" s="6" t="s">
        <v>760</v>
      </c>
      <c r="D122" s="6" t="s">
        <v>1268</v>
      </c>
      <c r="E122" s="10"/>
      <c r="F122" s="10"/>
      <c r="G122" s="10"/>
      <c r="H122" s="19"/>
    </row>
    <row r="123" spans="1:9" ht="60" x14ac:dyDescent="0.25">
      <c r="A123" s="22"/>
      <c r="B123" s="20" t="s">
        <v>761</v>
      </c>
      <c r="C123" s="6" t="s">
        <v>762</v>
      </c>
      <c r="D123" s="6" t="s">
        <v>1268</v>
      </c>
      <c r="E123" s="10"/>
      <c r="F123" s="10"/>
      <c r="G123" s="10"/>
    </row>
    <row r="124" spans="1:9" ht="45" x14ac:dyDescent="0.25">
      <c r="A124" s="22"/>
      <c r="B124" s="20" t="s">
        <v>763</v>
      </c>
      <c r="C124" s="6" t="s">
        <v>764</v>
      </c>
      <c r="D124" s="6" t="s">
        <v>1076</v>
      </c>
      <c r="E124" s="10"/>
      <c r="F124" s="10"/>
      <c r="G124" s="10"/>
      <c r="H124" s="19"/>
      <c r="I124" s="19"/>
    </row>
    <row r="125" spans="1:9" ht="60" x14ac:dyDescent="0.25">
      <c r="A125" s="39" t="s">
        <v>771</v>
      </c>
      <c r="B125" s="40" t="s">
        <v>765</v>
      </c>
      <c r="C125" s="41"/>
      <c r="D125" s="39"/>
      <c r="E125" s="47"/>
      <c r="F125" s="47"/>
      <c r="G125" s="47"/>
      <c r="H125" s="3" t="s">
        <v>286</v>
      </c>
    </row>
    <row r="126" spans="1:9" x14ac:dyDescent="0.25">
      <c r="A126" s="39"/>
      <c r="B126" s="40" t="s">
        <v>1333</v>
      </c>
      <c r="C126" s="41"/>
      <c r="D126" s="39" t="s">
        <v>9</v>
      </c>
      <c r="E126" s="42">
        <v>100</v>
      </c>
      <c r="F126" s="42">
        <v>100</v>
      </c>
      <c r="G126" s="42"/>
      <c r="H126" s="3"/>
    </row>
    <row r="127" spans="1:9" x14ac:dyDescent="0.25">
      <c r="A127" s="39"/>
      <c r="B127" s="40" t="s">
        <v>1335</v>
      </c>
      <c r="C127" s="41"/>
      <c r="D127" s="39" t="s">
        <v>9</v>
      </c>
      <c r="E127" s="42">
        <v>77.78</v>
      </c>
      <c r="F127" s="42">
        <v>87.5</v>
      </c>
      <c r="G127" s="42"/>
      <c r="H127" s="3"/>
    </row>
    <row r="128" spans="1:9" ht="60" x14ac:dyDescent="0.25">
      <c r="A128" s="6"/>
      <c r="B128" s="20" t="s">
        <v>766</v>
      </c>
      <c r="C128" s="6" t="s">
        <v>767</v>
      </c>
      <c r="D128" s="6" t="s">
        <v>1268</v>
      </c>
      <c r="E128" s="10"/>
      <c r="F128" s="10"/>
      <c r="G128" s="10"/>
    </row>
    <row r="129" spans="1:8" ht="45" x14ac:dyDescent="0.25">
      <c r="A129" s="6"/>
      <c r="B129" s="20" t="s">
        <v>768</v>
      </c>
      <c r="C129" s="6" t="s">
        <v>769</v>
      </c>
      <c r="D129" s="6" t="s">
        <v>1268</v>
      </c>
      <c r="E129" s="10"/>
      <c r="F129" s="10"/>
      <c r="G129" s="10"/>
    </row>
    <row r="130" spans="1:8" ht="60" x14ac:dyDescent="0.25">
      <c r="A130" s="39" t="s">
        <v>770</v>
      </c>
      <c r="B130" s="40" t="s">
        <v>772</v>
      </c>
      <c r="C130" s="39"/>
      <c r="D130" s="39"/>
      <c r="E130" s="47"/>
      <c r="F130" s="47"/>
      <c r="G130" s="47"/>
      <c r="H130" s="3" t="s">
        <v>286</v>
      </c>
    </row>
    <row r="131" spans="1:8" ht="30" x14ac:dyDescent="0.25">
      <c r="A131" s="50"/>
      <c r="B131" s="40" t="s">
        <v>1333</v>
      </c>
      <c r="C131" s="39"/>
      <c r="D131" s="39" t="s">
        <v>1267</v>
      </c>
      <c r="E131" s="42">
        <v>16.45</v>
      </c>
      <c r="F131" s="42">
        <v>15.54</v>
      </c>
      <c r="G131" s="42"/>
      <c r="H131" s="3"/>
    </row>
    <row r="132" spans="1:8" ht="30" x14ac:dyDescent="0.25">
      <c r="A132" s="50"/>
      <c r="B132" s="40" t="s">
        <v>1335</v>
      </c>
      <c r="C132" s="39"/>
      <c r="D132" s="39" t="s">
        <v>1267</v>
      </c>
      <c r="E132" s="42">
        <v>33.880000000000003</v>
      </c>
      <c r="F132" s="42">
        <v>34.26</v>
      </c>
      <c r="G132" s="42"/>
      <c r="H132" s="3"/>
    </row>
    <row r="133" spans="1:8" ht="45" customHeight="1" x14ac:dyDescent="0.25">
      <c r="A133" s="441"/>
      <c r="B133" s="443" t="s">
        <v>773</v>
      </c>
      <c r="C133" s="6" t="s">
        <v>774</v>
      </c>
      <c r="D133" s="6" t="s">
        <v>1267</v>
      </c>
      <c r="E133" s="10"/>
      <c r="F133" s="10"/>
      <c r="G133" s="10"/>
      <c r="H133" s="19"/>
    </row>
    <row r="134" spans="1:8" ht="30" x14ac:dyDescent="0.25">
      <c r="A134" s="446"/>
      <c r="B134" s="445"/>
      <c r="C134" s="6" t="s">
        <v>775</v>
      </c>
      <c r="D134" s="6" t="s">
        <v>1267</v>
      </c>
      <c r="E134" s="10"/>
      <c r="F134" s="10"/>
      <c r="G134" s="10"/>
    </row>
    <row r="135" spans="1:8" ht="30" x14ac:dyDescent="0.25">
      <c r="A135" s="442"/>
      <c r="B135" s="444"/>
      <c r="C135" s="6" t="s">
        <v>776</v>
      </c>
      <c r="D135" s="6" t="s">
        <v>1267</v>
      </c>
      <c r="E135" s="10"/>
      <c r="F135" s="10"/>
      <c r="G135" s="10"/>
    </row>
    <row r="136" spans="1:8" ht="45" x14ac:dyDescent="0.25">
      <c r="A136" s="24"/>
      <c r="B136" s="20" t="s">
        <v>763</v>
      </c>
      <c r="C136" s="6" t="s">
        <v>777</v>
      </c>
      <c r="D136" s="6" t="s">
        <v>1076</v>
      </c>
      <c r="E136" s="10"/>
      <c r="F136" s="10"/>
      <c r="G136" s="10"/>
    </row>
    <row r="137" spans="1:8" ht="30" x14ac:dyDescent="0.25">
      <c r="A137" s="9" t="s">
        <v>778</v>
      </c>
      <c r="B137" s="16" t="s">
        <v>779</v>
      </c>
      <c r="C137" s="7"/>
      <c r="D137" s="7"/>
      <c r="E137" s="7"/>
      <c r="F137" s="7"/>
      <c r="G137" s="7"/>
    </row>
    <row r="138" spans="1:8" ht="60" x14ac:dyDescent="0.25">
      <c r="A138" s="39" t="s">
        <v>781</v>
      </c>
      <c r="B138" s="40" t="s">
        <v>780</v>
      </c>
      <c r="C138" s="41"/>
      <c r="D138" s="39"/>
      <c r="E138" s="47"/>
      <c r="F138" s="47"/>
      <c r="G138" s="47"/>
      <c r="H138" s="3" t="s">
        <v>286</v>
      </c>
    </row>
    <row r="139" spans="1:8" x14ac:dyDescent="0.25">
      <c r="A139" s="50"/>
      <c r="B139" s="40" t="s">
        <v>1333</v>
      </c>
      <c r="C139" s="41"/>
      <c r="D139" s="39" t="s">
        <v>9</v>
      </c>
      <c r="E139" s="42">
        <v>100</v>
      </c>
      <c r="F139" s="42">
        <v>100</v>
      </c>
      <c r="G139" s="42"/>
      <c r="H139" s="3"/>
    </row>
    <row r="140" spans="1:8" x14ac:dyDescent="0.25">
      <c r="A140" s="50"/>
      <c r="B140" s="40" t="s">
        <v>1335</v>
      </c>
      <c r="C140" s="41"/>
      <c r="D140" s="39" t="s">
        <v>9</v>
      </c>
      <c r="E140" s="42">
        <v>44.44</v>
      </c>
      <c r="F140" s="42">
        <v>50</v>
      </c>
      <c r="G140" s="42"/>
      <c r="H140" s="3"/>
    </row>
    <row r="141" spans="1:8" ht="49.5" customHeight="1" x14ac:dyDescent="0.25">
      <c r="A141" s="443"/>
      <c r="B141" s="443" t="s">
        <v>782</v>
      </c>
      <c r="C141" s="6" t="s">
        <v>783</v>
      </c>
      <c r="D141" s="6" t="s">
        <v>1268</v>
      </c>
      <c r="E141" s="10"/>
      <c r="F141" s="10"/>
      <c r="G141" s="10"/>
      <c r="H141" s="19"/>
    </row>
    <row r="142" spans="1:8" ht="49.5" customHeight="1" x14ac:dyDescent="0.25">
      <c r="A142" s="444"/>
      <c r="B142" s="444"/>
      <c r="C142" s="6" t="s">
        <v>784</v>
      </c>
      <c r="D142" s="6" t="s">
        <v>1268</v>
      </c>
      <c r="E142" s="10"/>
      <c r="F142" s="10"/>
      <c r="G142" s="10"/>
    </row>
    <row r="143" spans="1:8" ht="30" x14ac:dyDescent="0.25">
      <c r="A143" s="443"/>
      <c r="B143" s="443" t="s">
        <v>785</v>
      </c>
      <c r="C143" s="6" t="s">
        <v>786</v>
      </c>
      <c r="D143" s="6" t="s">
        <v>1268</v>
      </c>
      <c r="E143" s="10"/>
      <c r="F143" s="10"/>
      <c r="G143" s="10"/>
      <c r="H143" s="19"/>
    </row>
    <row r="144" spans="1:8" ht="30" x14ac:dyDescent="0.25">
      <c r="A144" s="444"/>
      <c r="B144" s="444"/>
      <c r="C144" s="6" t="s">
        <v>787</v>
      </c>
      <c r="D144" s="6" t="s">
        <v>1268</v>
      </c>
      <c r="E144" s="10"/>
      <c r="F144" s="10"/>
      <c r="G144" s="10"/>
    </row>
    <row r="145" spans="1:8" ht="60" x14ac:dyDescent="0.25">
      <c r="A145" s="39" t="s">
        <v>789</v>
      </c>
      <c r="B145" s="40" t="s">
        <v>788</v>
      </c>
      <c r="C145" s="41"/>
      <c r="D145" s="39"/>
      <c r="E145" s="47"/>
      <c r="F145" s="47"/>
      <c r="G145" s="47"/>
      <c r="H145" s="3" t="s">
        <v>286</v>
      </c>
    </row>
    <row r="146" spans="1:8" x14ac:dyDescent="0.25">
      <c r="A146" s="50"/>
      <c r="B146" s="40" t="s">
        <v>1333</v>
      </c>
      <c r="C146" s="41"/>
      <c r="D146" s="39" t="s">
        <v>9</v>
      </c>
      <c r="E146" s="42">
        <v>0.36</v>
      </c>
      <c r="F146" s="42">
        <v>0.35</v>
      </c>
      <c r="G146" s="42"/>
      <c r="H146" s="3"/>
    </row>
    <row r="147" spans="1:8" x14ac:dyDescent="0.25">
      <c r="A147" s="50"/>
      <c r="B147" s="40" t="s">
        <v>1335</v>
      </c>
      <c r="C147" s="41"/>
      <c r="D147" s="39" t="s">
        <v>9</v>
      </c>
      <c r="E147" s="42">
        <v>7.0000000000000007E-2</v>
      </c>
      <c r="F147" s="42">
        <v>0</v>
      </c>
      <c r="G147" s="42"/>
      <c r="H147" s="3"/>
    </row>
    <row r="148" spans="1:8" ht="30" x14ac:dyDescent="0.25">
      <c r="A148" s="433"/>
      <c r="B148" s="443" t="s">
        <v>790</v>
      </c>
      <c r="C148" s="6" t="s">
        <v>1327</v>
      </c>
      <c r="D148" s="6" t="s">
        <v>1076</v>
      </c>
      <c r="E148" s="10"/>
      <c r="F148" s="10"/>
      <c r="G148" s="10"/>
      <c r="H148" s="3"/>
    </row>
    <row r="149" spans="1:8" ht="30" x14ac:dyDescent="0.25">
      <c r="A149" s="434"/>
      <c r="B149" s="445"/>
      <c r="C149" s="6" t="s">
        <v>1329</v>
      </c>
      <c r="D149" s="6" t="s">
        <v>1076</v>
      </c>
      <c r="E149" s="10"/>
      <c r="F149" s="10"/>
      <c r="G149" s="10"/>
      <c r="H149" s="3"/>
    </row>
    <row r="150" spans="1:8" ht="30" x14ac:dyDescent="0.25">
      <c r="A150" s="434"/>
      <c r="B150" s="445"/>
      <c r="C150" s="6" t="s">
        <v>1328</v>
      </c>
      <c r="D150" s="6" t="s">
        <v>1076</v>
      </c>
      <c r="E150" s="10"/>
      <c r="F150" s="10"/>
      <c r="G150" s="10"/>
      <c r="H150" s="3"/>
    </row>
    <row r="151" spans="1:8" ht="45" customHeight="1" x14ac:dyDescent="0.25">
      <c r="A151" s="25"/>
      <c r="B151" s="20" t="s">
        <v>665</v>
      </c>
      <c r="C151" s="6" t="s">
        <v>1330</v>
      </c>
      <c r="D151" s="6" t="s">
        <v>1076</v>
      </c>
      <c r="E151" s="10"/>
      <c r="F151" s="10"/>
      <c r="G151" s="10"/>
      <c r="H151" s="3"/>
    </row>
    <row r="152" spans="1:8" ht="45" x14ac:dyDescent="0.25">
      <c r="A152" s="44" t="s">
        <v>791</v>
      </c>
      <c r="B152" s="45" t="s">
        <v>792</v>
      </c>
      <c r="C152" s="41"/>
      <c r="D152" s="41"/>
      <c r="E152" s="41"/>
      <c r="F152" s="41"/>
      <c r="G152" s="41"/>
    </row>
    <row r="153" spans="1:8" ht="75" x14ac:dyDescent="0.25">
      <c r="A153" s="39" t="s">
        <v>794</v>
      </c>
      <c r="B153" s="40" t="s">
        <v>793</v>
      </c>
      <c r="C153" s="39"/>
      <c r="D153" s="39"/>
      <c r="E153" s="47"/>
      <c r="F153" s="47"/>
      <c r="G153" s="47"/>
      <c r="H153" s="3" t="s">
        <v>286</v>
      </c>
    </row>
    <row r="154" spans="1:8" x14ac:dyDescent="0.25">
      <c r="A154" s="39"/>
      <c r="B154" s="40" t="s">
        <v>1333</v>
      </c>
      <c r="C154" s="39"/>
      <c r="D154" s="39" t="s">
        <v>9</v>
      </c>
      <c r="E154" s="42">
        <v>32.74</v>
      </c>
      <c r="F154" s="42">
        <v>22.67</v>
      </c>
      <c r="G154" s="42"/>
      <c r="H154" s="3"/>
    </row>
    <row r="155" spans="1:8" x14ac:dyDescent="0.25">
      <c r="A155" s="39"/>
      <c r="B155" s="40" t="s">
        <v>1335</v>
      </c>
      <c r="C155" s="39"/>
      <c r="D155" s="39" t="s">
        <v>9</v>
      </c>
      <c r="E155" s="42">
        <v>0</v>
      </c>
      <c r="F155" s="42">
        <v>0</v>
      </c>
      <c r="G155" s="42"/>
      <c r="H155" s="3"/>
    </row>
    <row r="156" spans="1:8" ht="60" x14ac:dyDescent="0.25">
      <c r="A156" s="7"/>
      <c r="B156" s="20" t="s">
        <v>795</v>
      </c>
      <c r="C156" s="6" t="s">
        <v>796</v>
      </c>
      <c r="D156" s="6" t="s">
        <v>1076</v>
      </c>
      <c r="E156" s="10"/>
      <c r="F156" s="10"/>
      <c r="G156" s="10"/>
    </row>
    <row r="157" spans="1:8" ht="45" x14ac:dyDescent="0.25">
      <c r="A157" s="7"/>
      <c r="B157" s="20" t="s">
        <v>797</v>
      </c>
      <c r="C157" s="6" t="s">
        <v>798</v>
      </c>
      <c r="D157" s="6" t="s">
        <v>1076</v>
      </c>
      <c r="E157" s="10"/>
      <c r="F157" s="10"/>
      <c r="G157" s="10"/>
    </row>
    <row r="158" spans="1:8" ht="60" x14ac:dyDescent="0.25">
      <c r="A158" s="56" t="s">
        <v>800</v>
      </c>
      <c r="B158" s="57" t="s">
        <v>799</v>
      </c>
      <c r="C158" s="56"/>
      <c r="D158" s="56" t="s">
        <v>9</v>
      </c>
      <c r="E158" s="48" t="e">
        <f>E159/E160*100</f>
        <v>#DIV/0!</v>
      </c>
      <c r="F158" s="48" t="e">
        <f>F159/F160*100</f>
        <v>#DIV/0!</v>
      </c>
      <c r="G158" s="48" t="e">
        <f>G159/G160*100</f>
        <v>#DIV/0!</v>
      </c>
      <c r="H158" s="3" t="s">
        <v>106</v>
      </c>
    </row>
    <row r="159" spans="1:8" ht="60" x14ac:dyDescent="0.25">
      <c r="A159" s="61"/>
      <c r="B159" s="60" t="s">
        <v>801</v>
      </c>
      <c r="C159" s="35" t="s">
        <v>542</v>
      </c>
      <c r="D159" s="35" t="s">
        <v>1076</v>
      </c>
      <c r="E159" s="36"/>
      <c r="F159" s="36"/>
      <c r="G159" s="36"/>
      <c r="H159" s="3"/>
    </row>
    <row r="160" spans="1:8" ht="60" x14ac:dyDescent="0.25">
      <c r="A160" s="61"/>
      <c r="B160" s="60" t="s">
        <v>802</v>
      </c>
      <c r="C160" s="35" t="s">
        <v>542</v>
      </c>
      <c r="D160" s="35" t="s">
        <v>1076</v>
      </c>
      <c r="E160" s="36"/>
      <c r="F160" s="36"/>
      <c r="G160" s="36"/>
      <c r="H160" s="3"/>
    </row>
    <row r="161" spans="1:8" ht="45" x14ac:dyDescent="0.25">
      <c r="A161" s="44" t="s">
        <v>803</v>
      </c>
      <c r="B161" s="45" t="s">
        <v>804</v>
      </c>
      <c r="C161" s="41"/>
      <c r="D161" s="41"/>
      <c r="E161" s="41"/>
      <c r="F161" s="41"/>
      <c r="G161" s="41"/>
    </row>
    <row r="162" spans="1:8" ht="75" x14ac:dyDescent="0.25">
      <c r="A162" s="39" t="s">
        <v>806</v>
      </c>
      <c r="B162" s="40" t="s">
        <v>805</v>
      </c>
      <c r="C162" s="41"/>
      <c r="D162" s="39"/>
      <c r="E162" s="47"/>
      <c r="F162" s="47"/>
      <c r="G162" s="47"/>
      <c r="H162" s="3" t="s">
        <v>286</v>
      </c>
    </row>
    <row r="163" spans="1:8" x14ac:dyDescent="0.25">
      <c r="A163" s="50"/>
      <c r="B163" s="40" t="s">
        <v>1333</v>
      </c>
      <c r="C163" s="41"/>
      <c r="D163" s="39" t="s">
        <v>9</v>
      </c>
      <c r="E163" s="42">
        <v>18.3</v>
      </c>
      <c r="F163" s="42">
        <v>17.84</v>
      </c>
      <c r="G163" s="42"/>
      <c r="H163" s="3"/>
    </row>
    <row r="164" spans="1:8" x14ac:dyDescent="0.25">
      <c r="A164" s="50"/>
      <c r="B164" s="40" t="s">
        <v>1335</v>
      </c>
      <c r="C164" s="41"/>
      <c r="D164" s="39" t="s">
        <v>9</v>
      </c>
      <c r="E164" s="42">
        <v>100</v>
      </c>
      <c r="F164" s="42">
        <v>100</v>
      </c>
      <c r="G164" s="42"/>
      <c r="H164" s="3"/>
    </row>
    <row r="165" spans="1:8" ht="39" customHeight="1" x14ac:dyDescent="0.25">
      <c r="A165" s="441"/>
      <c r="B165" s="443" t="s">
        <v>807</v>
      </c>
      <c r="C165" s="6" t="s">
        <v>808</v>
      </c>
      <c r="D165" s="11" t="s">
        <v>1270</v>
      </c>
      <c r="E165" s="10"/>
      <c r="F165" s="10"/>
      <c r="G165" s="10"/>
      <c r="H165" s="3"/>
    </row>
    <row r="166" spans="1:8" ht="39" customHeight="1" x14ac:dyDescent="0.25">
      <c r="A166" s="442"/>
      <c r="B166" s="444"/>
      <c r="C166" s="6" t="s">
        <v>809</v>
      </c>
      <c r="D166" s="11" t="s">
        <v>1270</v>
      </c>
      <c r="E166" s="10"/>
      <c r="F166" s="10"/>
      <c r="G166" s="10"/>
      <c r="H166" s="3"/>
    </row>
    <row r="167" spans="1:8" ht="39" customHeight="1" x14ac:dyDescent="0.25">
      <c r="A167" s="441"/>
      <c r="B167" s="443" t="s">
        <v>810</v>
      </c>
      <c r="C167" s="6" t="s">
        <v>811</v>
      </c>
      <c r="D167" s="11" t="s">
        <v>1270</v>
      </c>
      <c r="E167" s="10"/>
      <c r="F167" s="10"/>
      <c r="G167" s="10"/>
      <c r="H167" s="3"/>
    </row>
    <row r="168" spans="1:8" ht="39" customHeight="1" x14ac:dyDescent="0.25">
      <c r="A168" s="442"/>
      <c r="B168" s="444"/>
      <c r="C168" s="6" t="s">
        <v>812</v>
      </c>
      <c r="D168" s="11" t="s">
        <v>1270</v>
      </c>
      <c r="E168" s="10"/>
      <c r="F168" s="10"/>
      <c r="G168" s="10"/>
      <c r="H168" s="3"/>
    </row>
    <row r="169" spans="1:8" ht="60" x14ac:dyDescent="0.25">
      <c r="A169" s="39" t="s">
        <v>814</v>
      </c>
      <c r="B169" s="40" t="s">
        <v>813</v>
      </c>
      <c r="C169" s="39"/>
      <c r="D169" s="39"/>
      <c r="E169" s="47"/>
      <c r="F169" s="47"/>
      <c r="G169" s="47"/>
      <c r="H169" s="3" t="s">
        <v>286</v>
      </c>
    </row>
    <row r="170" spans="1:8" x14ac:dyDescent="0.25">
      <c r="A170" s="39"/>
      <c r="B170" s="40" t="s">
        <v>1333</v>
      </c>
      <c r="C170" s="39"/>
      <c r="D170" s="39" t="s">
        <v>1270</v>
      </c>
      <c r="E170" s="42">
        <v>246.82</v>
      </c>
      <c r="F170" s="42">
        <v>262.37</v>
      </c>
      <c r="G170" s="42"/>
      <c r="H170" s="3"/>
    </row>
    <row r="171" spans="1:8" x14ac:dyDescent="0.25">
      <c r="A171" s="39"/>
      <c r="B171" s="40" t="s">
        <v>1335</v>
      </c>
      <c r="C171" s="39"/>
      <c r="D171" s="39" t="s">
        <v>1270</v>
      </c>
      <c r="E171" s="42">
        <v>403.4</v>
      </c>
      <c r="F171" s="42">
        <v>427.57</v>
      </c>
      <c r="G171" s="42"/>
      <c r="H171" s="3"/>
    </row>
    <row r="172" spans="1:8" ht="45" customHeight="1" x14ac:dyDescent="0.25">
      <c r="A172" s="7"/>
      <c r="B172" s="20" t="s">
        <v>815</v>
      </c>
      <c r="C172" s="6" t="s">
        <v>816</v>
      </c>
      <c r="D172" s="11" t="s">
        <v>1270</v>
      </c>
      <c r="E172" s="10"/>
      <c r="F172" s="10"/>
      <c r="G172" s="10"/>
    </row>
    <row r="173" spans="1:8" ht="45" x14ac:dyDescent="0.25">
      <c r="A173" s="7"/>
      <c r="B173" s="20" t="s">
        <v>763</v>
      </c>
      <c r="C173" s="6" t="s">
        <v>817</v>
      </c>
      <c r="D173" s="11" t="s">
        <v>1076</v>
      </c>
      <c r="E173" s="10"/>
      <c r="F173" s="10"/>
      <c r="G173" s="10"/>
    </row>
    <row r="174" spans="1:8" ht="45" x14ac:dyDescent="0.25">
      <c r="A174" s="44" t="s">
        <v>818</v>
      </c>
      <c r="B174" s="45" t="s">
        <v>819</v>
      </c>
      <c r="C174" s="41"/>
      <c r="D174" s="41"/>
      <c r="E174" s="41"/>
      <c r="F174" s="41"/>
      <c r="G174" s="41"/>
    </row>
    <row r="175" spans="1:8" ht="60" x14ac:dyDescent="0.25">
      <c r="A175" s="39" t="s">
        <v>821</v>
      </c>
      <c r="B175" s="40" t="s">
        <v>820</v>
      </c>
      <c r="C175" s="41"/>
      <c r="D175" s="39"/>
      <c r="E175" s="47"/>
      <c r="F175" s="47"/>
      <c r="G175" s="47"/>
      <c r="H175" s="3" t="s">
        <v>286</v>
      </c>
    </row>
    <row r="176" spans="1:8" x14ac:dyDescent="0.25">
      <c r="A176" s="39"/>
      <c r="B176" s="40" t="s">
        <v>1333</v>
      </c>
      <c r="C176" s="41"/>
      <c r="D176" s="39" t="s">
        <v>9</v>
      </c>
      <c r="E176" s="42">
        <v>0</v>
      </c>
      <c r="F176" s="42">
        <v>0</v>
      </c>
      <c r="G176" s="42"/>
      <c r="H176" s="3"/>
    </row>
    <row r="177" spans="1:8" x14ac:dyDescent="0.25">
      <c r="A177" s="39"/>
      <c r="B177" s="40" t="s">
        <v>1335</v>
      </c>
      <c r="C177" s="41"/>
      <c r="D177" s="39" t="s">
        <v>9</v>
      </c>
      <c r="E177" s="42">
        <v>0</v>
      </c>
      <c r="F177" s="42">
        <v>0</v>
      </c>
      <c r="G177" s="42"/>
      <c r="H177" s="3"/>
    </row>
    <row r="178" spans="1:8" ht="60" x14ac:dyDescent="0.25">
      <c r="A178" s="7"/>
      <c r="B178" s="20" t="s">
        <v>822</v>
      </c>
      <c r="C178" s="6" t="s">
        <v>823</v>
      </c>
      <c r="D178" s="11" t="s">
        <v>1268</v>
      </c>
      <c r="E178" s="10"/>
      <c r="F178" s="10"/>
      <c r="G178" s="10"/>
    </row>
    <row r="179" spans="1:8" ht="30" x14ac:dyDescent="0.25">
      <c r="A179" s="7"/>
      <c r="B179" s="20" t="s">
        <v>824</v>
      </c>
      <c r="C179" s="6" t="s">
        <v>825</v>
      </c>
      <c r="D179" s="11" t="s">
        <v>1268</v>
      </c>
      <c r="E179" s="10"/>
      <c r="F179" s="10"/>
      <c r="G179" s="10"/>
    </row>
    <row r="180" spans="1:8" ht="60" x14ac:dyDescent="0.25">
      <c r="A180" s="44" t="s">
        <v>826</v>
      </c>
      <c r="B180" s="45" t="s">
        <v>827</v>
      </c>
      <c r="C180" s="41"/>
      <c r="D180" s="41"/>
      <c r="E180" s="41"/>
      <c r="F180" s="41"/>
      <c r="G180" s="41"/>
    </row>
    <row r="181" spans="1:8" ht="60" x14ac:dyDescent="0.25">
      <c r="A181" s="39" t="s">
        <v>829</v>
      </c>
      <c r="B181" s="40" t="s">
        <v>828</v>
      </c>
      <c r="C181" s="41"/>
      <c r="D181" s="39"/>
      <c r="E181" s="47"/>
      <c r="F181" s="47"/>
      <c r="G181" s="47"/>
      <c r="H181" s="3" t="s">
        <v>286</v>
      </c>
    </row>
    <row r="182" spans="1:8" x14ac:dyDescent="0.25">
      <c r="A182" s="39"/>
      <c r="B182" s="40" t="s">
        <v>1333</v>
      </c>
      <c r="C182" s="41"/>
      <c r="D182" s="39" t="s">
        <v>9</v>
      </c>
      <c r="E182" s="42">
        <v>14.46</v>
      </c>
      <c r="F182" s="42">
        <v>12.46</v>
      </c>
      <c r="G182" s="42"/>
      <c r="H182" s="3"/>
    </row>
    <row r="183" spans="1:8" x14ac:dyDescent="0.25">
      <c r="A183" s="39"/>
      <c r="B183" s="40" t="s">
        <v>1335</v>
      </c>
      <c r="C183" s="41"/>
      <c r="D183" s="39" t="s">
        <v>9</v>
      </c>
      <c r="E183" s="42">
        <v>4.0599999999999996</v>
      </c>
      <c r="F183" s="42">
        <v>5.88</v>
      </c>
      <c r="G183" s="42"/>
      <c r="H183" s="3"/>
    </row>
    <row r="184" spans="1:8" ht="45" x14ac:dyDescent="0.25">
      <c r="A184" s="7"/>
      <c r="B184" s="20" t="s">
        <v>830</v>
      </c>
      <c r="C184" s="6" t="s">
        <v>831</v>
      </c>
      <c r="D184" s="11" t="s">
        <v>1270</v>
      </c>
      <c r="E184" s="10"/>
      <c r="F184" s="10"/>
      <c r="G184" s="10"/>
    </row>
    <row r="185" spans="1:8" ht="30" x14ac:dyDescent="0.25">
      <c r="A185" s="7"/>
      <c r="B185" s="20" t="s">
        <v>832</v>
      </c>
      <c r="C185" s="6" t="s">
        <v>833</v>
      </c>
      <c r="D185" s="11" t="s">
        <v>1270</v>
      </c>
      <c r="E185" s="10"/>
      <c r="F185" s="10"/>
      <c r="G185" s="10"/>
    </row>
    <row r="186" spans="1:8" ht="60" x14ac:dyDescent="0.25">
      <c r="A186" s="39" t="s">
        <v>834</v>
      </c>
      <c r="B186" s="40" t="s">
        <v>835</v>
      </c>
      <c r="C186" s="39"/>
      <c r="D186" s="39"/>
      <c r="E186" s="47"/>
      <c r="F186" s="47"/>
      <c r="G186" s="47"/>
      <c r="H186" s="3" t="s">
        <v>286</v>
      </c>
    </row>
    <row r="187" spans="1:8" x14ac:dyDescent="0.25">
      <c r="A187" s="39"/>
      <c r="B187" s="40" t="s">
        <v>1333</v>
      </c>
      <c r="C187" s="39"/>
      <c r="D187" s="39" t="s">
        <v>1270</v>
      </c>
      <c r="E187" s="42">
        <v>521.78</v>
      </c>
      <c r="F187" s="42">
        <v>485.43</v>
      </c>
      <c r="G187" s="42"/>
      <c r="H187" s="3"/>
    </row>
    <row r="188" spans="1:8" x14ac:dyDescent="0.25">
      <c r="A188" s="39"/>
      <c r="B188" s="40" t="s">
        <v>1335</v>
      </c>
      <c r="C188" s="39"/>
      <c r="D188" s="39" t="s">
        <v>1270</v>
      </c>
      <c r="E188" s="42">
        <v>84.08</v>
      </c>
      <c r="F188" s="42">
        <v>116.68</v>
      </c>
      <c r="G188" s="42"/>
      <c r="H188" s="3"/>
    </row>
    <row r="189" spans="1:8" ht="60" x14ac:dyDescent="0.25">
      <c r="A189" s="7"/>
      <c r="B189" s="20" t="s">
        <v>836</v>
      </c>
      <c r="C189" s="6" t="s">
        <v>831</v>
      </c>
      <c r="D189" s="11" t="s">
        <v>1270</v>
      </c>
      <c r="E189" s="10"/>
      <c r="F189" s="10"/>
      <c r="G189" s="10"/>
    </row>
    <row r="190" spans="1:8" ht="45" x14ac:dyDescent="0.25">
      <c r="A190" s="7"/>
      <c r="B190" s="20" t="s">
        <v>837</v>
      </c>
      <c r="C190" s="6" t="s">
        <v>714</v>
      </c>
      <c r="D190" s="11" t="s">
        <v>1076</v>
      </c>
      <c r="E190" s="10"/>
      <c r="F190" s="10"/>
      <c r="G190" s="10"/>
    </row>
    <row r="191" spans="1:8" ht="45" x14ac:dyDescent="0.25">
      <c r="A191" s="7"/>
      <c r="B191" s="20" t="s">
        <v>838</v>
      </c>
      <c r="C191" s="6" t="s">
        <v>839</v>
      </c>
      <c r="D191" s="11" t="s">
        <v>1076</v>
      </c>
      <c r="E191" s="10"/>
      <c r="F191" s="10"/>
      <c r="G191" s="10"/>
    </row>
    <row r="192" spans="1:8" ht="75" x14ac:dyDescent="0.25">
      <c r="A192" s="56" t="s">
        <v>840</v>
      </c>
      <c r="B192" s="57" t="s">
        <v>841</v>
      </c>
      <c r="C192" s="56"/>
      <c r="D192" s="56" t="s">
        <v>9</v>
      </c>
      <c r="E192" s="48" t="e">
        <f>E193/E194*100</f>
        <v>#DIV/0!</v>
      </c>
      <c r="F192" s="48" t="e">
        <f>F193/F194*100</f>
        <v>#DIV/0!</v>
      </c>
      <c r="G192" s="48" t="e">
        <f>G193/G194*100</f>
        <v>#DIV/0!</v>
      </c>
      <c r="H192" s="3" t="s">
        <v>106</v>
      </c>
    </row>
    <row r="193" spans="1:8" ht="105" x14ac:dyDescent="0.25">
      <c r="A193" s="61"/>
      <c r="B193" s="60" t="s">
        <v>842</v>
      </c>
      <c r="C193" s="35" t="s">
        <v>737</v>
      </c>
      <c r="D193" s="59" t="s">
        <v>1076</v>
      </c>
      <c r="E193" s="36"/>
      <c r="F193" s="36"/>
      <c r="G193" s="36"/>
    </row>
    <row r="194" spans="1:8" ht="105" x14ac:dyDescent="0.25">
      <c r="A194" s="61"/>
      <c r="B194" s="60" t="s">
        <v>843</v>
      </c>
      <c r="C194" s="35" t="s">
        <v>737</v>
      </c>
      <c r="D194" s="59" t="s">
        <v>1076</v>
      </c>
      <c r="E194" s="36"/>
      <c r="F194" s="36"/>
      <c r="G194" s="36"/>
    </row>
    <row r="195" spans="1:8" ht="120" x14ac:dyDescent="0.25">
      <c r="A195" s="56" t="s">
        <v>844</v>
      </c>
      <c r="B195" s="57" t="s">
        <v>845</v>
      </c>
      <c r="C195" s="56"/>
      <c r="D195" s="56" t="s">
        <v>9</v>
      </c>
      <c r="E195" s="48" t="e">
        <f>E196/E197*100</f>
        <v>#DIV/0!</v>
      </c>
      <c r="F195" s="48" t="e">
        <f>F196/F197*100</f>
        <v>#DIV/0!</v>
      </c>
      <c r="G195" s="48" t="e">
        <f>G196/G197*100</f>
        <v>#DIV/0!</v>
      </c>
      <c r="H195" s="3" t="s">
        <v>106</v>
      </c>
    </row>
    <row r="196" spans="1:8" ht="105" x14ac:dyDescent="0.25">
      <c r="A196" s="61"/>
      <c r="B196" s="60" t="s">
        <v>846</v>
      </c>
      <c r="C196" s="35" t="s">
        <v>737</v>
      </c>
      <c r="D196" s="59" t="s">
        <v>1076</v>
      </c>
      <c r="E196" s="36"/>
      <c r="F196" s="36"/>
      <c r="G196" s="36"/>
    </row>
    <row r="197" spans="1:8" ht="105" x14ac:dyDescent="0.25">
      <c r="A197" s="61"/>
      <c r="B197" s="60" t="s">
        <v>847</v>
      </c>
      <c r="C197" s="35" t="s">
        <v>737</v>
      </c>
      <c r="D197" s="59" t="s">
        <v>1076</v>
      </c>
      <c r="E197" s="36"/>
      <c r="F197" s="36"/>
      <c r="G197" s="36"/>
    </row>
    <row r="198" spans="1:8" ht="45" x14ac:dyDescent="0.25">
      <c r="A198" s="44" t="s">
        <v>848</v>
      </c>
      <c r="B198" s="45" t="s">
        <v>849</v>
      </c>
      <c r="C198" s="41"/>
      <c r="D198" s="41"/>
      <c r="E198" s="41"/>
      <c r="F198" s="41"/>
      <c r="G198" s="41"/>
    </row>
    <row r="199" spans="1:8" ht="60" x14ac:dyDescent="0.25">
      <c r="A199" s="39" t="s">
        <v>850</v>
      </c>
      <c r="B199" s="40" t="s">
        <v>1296</v>
      </c>
      <c r="C199" s="39"/>
      <c r="D199" s="39"/>
      <c r="E199" s="47"/>
      <c r="F199" s="47"/>
      <c r="G199" s="47"/>
      <c r="H199" s="3" t="s">
        <v>286</v>
      </c>
    </row>
    <row r="200" spans="1:8" x14ac:dyDescent="0.25">
      <c r="A200" s="39"/>
      <c r="B200" s="40" t="s">
        <v>614</v>
      </c>
      <c r="C200" s="39"/>
      <c r="D200" s="39"/>
      <c r="E200" s="47"/>
      <c r="F200" s="47"/>
      <c r="G200" s="47"/>
    </row>
    <row r="201" spans="1:8" x14ac:dyDescent="0.25">
      <c r="A201" s="39"/>
      <c r="B201" s="40" t="s">
        <v>1333</v>
      </c>
      <c r="C201" s="39"/>
      <c r="D201" s="39" t="s">
        <v>9</v>
      </c>
      <c r="E201" s="42">
        <v>100</v>
      </c>
      <c r="F201" s="42">
        <v>100</v>
      </c>
      <c r="G201" s="42"/>
    </row>
    <row r="202" spans="1:8" x14ac:dyDescent="0.25">
      <c r="A202" s="39"/>
      <c r="B202" s="40" t="s">
        <v>1335</v>
      </c>
      <c r="C202" s="39"/>
      <c r="D202" s="39" t="s">
        <v>9</v>
      </c>
      <c r="E202" s="42">
        <v>70.37</v>
      </c>
      <c r="F202" s="42">
        <v>92.61</v>
      </c>
      <c r="G202" s="42"/>
    </row>
    <row r="203" spans="1:8" x14ac:dyDescent="0.25">
      <c r="A203" s="39"/>
      <c r="B203" s="40" t="s">
        <v>619</v>
      </c>
      <c r="C203" s="39"/>
      <c r="D203" s="39"/>
      <c r="E203" s="47"/>
      <c r="F203" s="47"/>
      <c r="G203" s="47"/>
    </row>
    <row r="204" spans="1:8" x14ac:dyDescent="0.25">
      <c r="A204" s="39"/>
      <c r="B204" s="40" t="s">
        <v>1333</v>
      </c>
      <c r="C204" s="39"/>
      <c r="D204" s="39" t="s">
        <v>9</v>
      </c>
      <c r="E204" s="42">
        <v>97.73</v>
      </c>
      <c r="F204" s="42">
        <v>100</v>
      </c>
      <c r="G204" s="42"/>
    </row>
    <row r="205" spans="1:8" x14ac:dyDescent="0.25">
      <c r="A205" s="39"/>
      <c r="B205" s="40" t="s">
        <v>1335</v>
      </c>
      <c r="C205" s="39"/>
      <c r="D205" s="39" t="s">
        <v>9</v>
      </c>
      <c r="E205" s="42">
        <v>0</v>
      </c>
      <c r="F205" s="42">
        <v>100</v>
      </c>
      <c r="G205" s="42"/>
    </row>
    <row r="206" spans="1:8" ht="60" x14ac:dyDescent="0.25">
      <c r="A206" s="6"/>
      <c r="B206" s="20" t="s">
        <v>851</v>
      </c>
      <c r="C206" s="6" t="s">
        <v>852</v>
      </c>
      <c r="D206" s="11" t="s">
        <v>1267</v>
      </c>
      <c r="E206" s="10"/>
      <c r="F206" s="10"/>
      <c r="G206" s="10"/>
    </row>
    <row r="207" spans="1:8" ht="45" x14ac:dyDescent="0.25">
      <c r="A207" s="6"/>
      <c r="B207" s="20" t="s">
        <v>853</v>
      </c>
      <c r="C207" s="6" t="s">
        <v>854</v>
      </c>
      <c r="D207" s="11" t="s">
        <v>1267</v>
      </c>
      <c r="E207" s="10"/>
      <c r="F207" s="10"/>
      <c r="G207" s="10"/>
    </row>
    <row r="208" spans="1:8" ht="45" x14ac:dyDescent="0.25">
      <c r="A208" s="6"/>
      <c r="B208" s="20" t="s">
        <v>855</v>
      </c>
      <c r="C208" s="6" t="s">
        <v>856</v>
      </c>
      <c r="D208" s="11" t="s">
        <v>1267</v>
      </c>
      <c r="E208" s="10"/>
      <c r="F208" s="10"/>
      <c r="G208" s="10"/>
    </row>
    <row r="209" spans="1:8" ht="45" x14ac:dyDescent="0.25">
      <c r="A209" s="6"/>
      <c r="B209" s="20" t="s">
        <v>857</v>
      </c>
      <c r="C209" s="6" t="s">
        <v>858</v>
      </c>
      <c r="D209" s="11" t="s">
        <v>1267</v>
      </c>
      <c r="E209" s="10"/>
      <c r="F209" s="10"/>
      <c r="G209" s="10"/>
    </row>
    <row r="210" spans="1:8" ht="60" x14ac:dyDescent="0.25">
      <c r="A210" s="39" t="s">
        <v>859</v>
      </c>
      <c r="B210" s="40" t="s">
        <v>860</v>
      </c>
      <c r="C210" s="39"/>
      <c r="D210" s="39"/>
      <c r="E210" s="47"/>
      <c r="F210" s="47"/>
      <c r="G210" s="47"/>
      <c r="H210" s="3" t="s">
        <v>286</v>
      </c>
    </row>
    <row r="211" spans="1:8" x14ac:dyDescent="0.25">
      <c r="A211" s="39"/>
      <c r="B211" s="40" t="s">
        <v>614</v>
      </c>
      <c r="C211" s="39"/>
      <c r="D211" s="39"/>
      <c r="E211" s="47"/>
      <c r="F211" s="47"/>
      <c r="G211" s="47"/>
    </row>
    <row r="212" spans="1:8" x14ac:dyDescent="0.25">
      <c r="A212" s="39"/>
      <c r="B212" s="40" t="s">
        <v>1333</v>
      </c>
      <c r="C212" s="39"/>
      <c r="D212" s="39" t="s">
        <v>9</v>
      </c>
      <c r="E212" s="42">
        <v>1.29</v>
      </c>
      <c r="F212" s="42">
        <v>1.31</v>
      </c>
      <c r="G212" s="42" t="e">
        <f>G218/G221*100</f>
        <v>#DIV/0!</v>
      </c>
    </row>
    <row r="213" spans="1:8" x14ac:dyDescent="0.25">
      <c r="A213" s="39"/>
      <c r="B213" s="40" t="s">
        <v>1335</v>
      </c>
      <c r="C213" s="39"/>
      <c r="D213" s="39" t="s">
        <v>9</v>
      </c>
      <c r="E213" s="42">
        <v>0</v>
      </c>
      <c r="F213" s="42">
        <f>F219/F222*100</f>
        <v>0</v>
      </c>
      <c r="G213" s="42" t="e">
        <f>G219/G222*100</f>
        <v>#DIV/0!</v>
      </c>
    </row>
    <row r="214" spans="1:8" x14ac:dyDescent="0.25">
      <c r="A214" s="39"/>
      <c r="B214" s="40" t="s">
        <v>861</v>
      </c>
      <c r="C214" s="39"/>
      <c r="D214" s="39"/>
      <c r="E214" s="47"/>
      <c r="F214" s="47"/>
      <c r="G214" s="47"/>
    </row>
    <row r="215" spans="1:8" x14ac:dyDescent="0.25">
      <c r="A215" s="39"/>
      <c r="B215" s="40" t="s">
        <v>1333</v>
      </c>
      <c r="C215" s="39"/>
      <c r="D215" s="39" t="s">
        <v>9</v>
      </c>
      <c r="E215" s="42">
        <v>0</v>
      </c>
      <c r="F215" s="42">
        <f>F224/F227*100</f>
        <v>0</v>
      </c>
      <c r="G215" s="42" t="e">
        <f>G224/G227*100</f>
        <v>#DIV/0!</v>
      </c>
    </row>
    <row r="216" spans="1:8" x14ac:dyDescent="0.25">
      <c r="A216" s="39"/>
      <c r="B216" s="40" t="s">
        <v>1335</v>
      </c>
      <c r="C216" s="39"/>
      <c r="D216" s="39" t="s">
        <v>9</v>
      </c>
      <c r="E216" s="42">
        <v>0</v>
      </c>
      <c r="F216" s="42">
        <f>F225/F228*100</f>
        <v>0</v>
      </c>
      <c r="G216" s="42" t="e">
        <f>G225/G228*100</f>
        <v>#DIV/0!</v>
      </c>
    </row>
    <row r="217" spans="1:8" ht="45" x14ac:dyDescent="0.25">
      <c r="A217" s="6"/>
      <c r="B217" s="20" t="s">
        <v>862</v>
      </c>
      <c r="C217" s="6" t="s">
        <v>863</v>
      </c>
      <c r="D217" s="11" t="s">
        <v>1267</v>
      </c>
      <c r="E217" s="10"/>
      <c r="F217" s="10"/>
      <c r="G217" s="10"/>
    </row>
    <row r="218" spans="1:8" x14ac:dyDescent="0.25">
      <c r="A218" s="6"/>
      <c r="B218" s="20" t="s">
        <v>1333</v>
      </c>
      <c r="C218" s="6"/>
      <c r="D218" s="11"/>
      <c r="E218" s="10"/>
      <c r="F218" s="10">
        <v>1587</v>
      </c>
      <c r="G218" s="10"/>
    </row>
    <row r="219" spans="1:8" x14ac:dyDescent="0.25">
      <c r="A219" s="6"/>
      <c r="B219" s="20" t="s">
        <v>1335</v>
      </c>
      <c r="C219" s="6"/>
      <c r="D219" s="11"/>
      <c r="E219" s="10"/>
      <c r="F219" s="10">
        <v>0</v>
      </c>
      <c r="G219" s="10"/>
    </row>
    <row r="220" spans="1:8" ht="45" x14ac:dyDescent="0.25">
      <c r="A220" s="6"/>
      <c r="B220" s="20" t="s">
        <v>855</v>
      </c>
      <c r="C220" s="6" t="s">
        <v>856</v>
      </c>
      <c r="D220" s="11" t="s">
        <v>1267</v>
      </c>
      <c r="E220" s="10"/>
      <c r="F220" s="10"/>
      <c r="G220" s="10"/>
    </row>
    <row r="221" spans="1:8" x14ac:dyDescent="0.25">
      <c r="A221" s="6"/>
      <c r="B221" s="20" t="s">
        <v>1333</v>
      </c>
      <c r="C221" s="6"/>
      <c r="D221" s="11"/>
      <c r="E221" s="10"/>
      <c r="F221" s="10">
        <v>324880</v>
      </c>
      <c r="G221" s="10"/>
    </row>
    <row r="222" spans="1:8" x14ac:dyDescent="0.25">
      <c r="A222" s="6"/>
      <c r="B222" s="20" t="s">
        <v>1335</v>
      </c>
      <c r="C222" s="6"/>
      <c r="D222" s="11"/>
      <c r="E222" s="10"/>
      <c r="F222" s="10">
        <v>17605</v>
      </c>
      <c r="G222" s="10"/>
    </row>
    <row r="223" spans="1:8" ht="45" x14ac:dyDescent="0.25">
      <c r="A223" s="6"/>
      <c r="B223" s="20" t="s">
        <v>864</v>
      </c>
      <c r="C223" s="6" t="s">
        <v>865</v>
      </c>
      <c r="D223" s="11" t="s">
        <v>1267</v>
      </c>
      <c r="E223" s="10"/>
      <c r="F223" s="10"/>
      <c r="G223" s="10"/>
    </row>
    <row r="224" spans="1:8" x14ac:dyDescent="0.25">
      <c r="A224" s="6"/>
      <c r="B224" s="20" t="s">
        <v>1333</v>
      </c>
      <c r="C224" s="6"/>
      <c r="D224" s="11"/>
      <c r="E224" s="10"/>
      <c r="F224" s="10">
        <v>0</v>
      </c>
      <c r="G224" s="10"/>
    </row>
    <row r="225" spans="1:8" x14ac:dyDescent="0.25">
      <c r="A225" s="6"/>
      <c r="B225" s="20" t="s">
        <v>1335</v>
      </c>
      <c r="C225" s="6"/>
      <c r="D225" s="11"/>
      <c r="E225" s="10"/>
      <c r="F225" s="10">
        <v>0</v>
      </c>
      <c r="G225" s="10"/>
    </row>
    <row r="226" spans="1:8" ht="45" x14ac:dyDescent="0.25">
      <c r="A226" s="6"/>
      <c r="B226" s="20" t="s">
        <v>857</v>
      </c>
      <c r="C226" s="6" t="s">
        <v>866</v>
      </c>
      <c r="D226" s="11" t="s">
        <v>1267</v>
      </c>
      <c r="E226" s="10"/>
      <c r="F226" s="10"/>
      <c r="G226" s="10"/>
    </row>
    <row r="227" spans="1:8" x14ac:dyDescent="0.25">
      <c r="A227" s="6"/>
      <c r="B227" s="20" t="s">
        <v>1333</v>
      </c>
      <c r="C227" s="6"/>
      <c r="D227" s="11"/>
      <c r="E227" s="10"/>
      <c r="F227" s="10">
        <v>98509</v>
      </c>
      <c r="G227" s="10"/>
    </row>
    <row r="228" spans="1:8" x14ac:dyDescent="0.25">
      <c r="A228" s="6"/>
      <c r="B228" s="20" t="s">
        <v>1335</v>
      </c>
      <c r="C228" s="6"/>
      <c r="D228" s="11"/>
      <c r="E228" s="10"/>
      <c r="F228" s="10">
        <v>58</v>
      </c>
      <c r="G228" s="10"/>
    </row>
    <row r="229" spans="1:8" ht="60" x14ac:dyDescent="0.25">
      <c r="A229" s="39" t="s">
        <v>867</v>
      </c>
      <c r="B229" s="40" t="s">
        <v>868</v>
      </c>
      <c r="C229" s="39"/>
      <c r="D229" s="39"/>
      <c r="E229" s="47"/>
      <c r="F229" s="47"/>
      <c r="G229" s="47"/>
      <c r="H229" s="3" t="s">
        <v>286</v>
      </c>
    </row>
    <row r="230" spans="1:8" x14ac:dyDescent="0.25">
      <c r="A230" s="39"/>
      <c r="B230" s="40" t="s">
        <v>614</v>
      </c>
      <c r="C230" s="39"/>
      <c r="D230" s="39"/>
      <c r="E230" s="47"/>
      <c r="F230" s="47"/>
      <c r="G230" s="47"/>
      <c r="H230" s="3"/>
    </row>
    <row r="231" spans="1:8" x14ac:dyDescent="0.25">
      <c r="A231" s="39"/>
      <c r="B231" s="40" t="s">
        <v>1333</v>
      </c>
      <c r="C231" s="39"/>
      <c r="D231" s="39" t="s">
        <v>9</v>
      </c>
      <c r="E231" s="42">
        <v>0.44</v>
      </c>
      <c r="F231" s="42">
        <v>0.45</v>
      </c>
      <c r="G231" s="42" t="e">
        <f>G237/G240*100</f>
        <v>#DIV/0!</v>
      </c>
      <c r="H231" s="3"/>
    </row>
    <row r="232" spans="1:8" x14ac:dyDescent="0.25">
      <c r="A232" s="39"/>
      <c r="B232" s="40" t="s">
        <v>1335</v>
      </c>
      <c r="C232" s="39"/>
      <c r="D232" s="39" t="s">
        <v>9</v>
      </c>
      <c r="E232" s="42">
        <v>0</v>
      </c>
      <c r="F232" s="42">
        <f>F238/F241*100</f>
        <v>0</v>
      </c>
      <c r="G232" s="42" t="e">
        <f>G238/G241*100</f>
        <v>#DIV/0!</v>
      </c>
      <c r="H232" s="3"/>
    </row>
    <row r="233" spans="1:8" x14ac:dyDescent="0.25">
      <c r="A233" s="39"/>
      <c r="B233" s="40" t="s">
        <v>619</v>
      </c>
      <c r="C233" s="39"/>
      <c r="D233" s="39"/>
      <c r="E233" s="47"/>
      <c r="F233" s="47"/>
      <c r="G233" s="47"/>
      <c r="H233" s="3"/>
    </row>
    <row r="234" spans="1:8" x14ac:dyDescent="0.25">
      <c r="A234" s="39"/>
      <c r="B234" s="40" t="s">
        <v>1333</v>
      </c>
      <c r="C234" s="39"/>
      <c r="D234" s="39" t="s">
        <v>9</v>
      </c>
      <c r="E234" s="42">
        <v>0</v>
      </c>
      <c r="F234" s="42">
        <f>F243/F246*100</f>
        <v>0</v>
      </c>
      <c r="G234" s="42" t="e">
        <f>G243/G246*100</f>
        <v>#DIV/0!</v>
      </c>
      <c r="H234" s="3"/>
    </row>
    <row r="235" spans="1:8" x14ac:dyDescent="0.25">
      <c r="A235" s="39"/>
      <c r="B235" s="40" t="s">
        <v>1335</v>
      </c>
      <c r="C235" s="39"/>
      <c r="D235" s="39" t="s">
        <v>9</v>
      </c>
      <c r="E235" s="42">
        <v>0</v>
      </c>
      <c r="F235" s="42">
        <f>F244/F247*100</f>
        <v>0</v>
      </c>
      <c r="G235" s="42" t="e">
        <f>G244/G247*100</f>
        <v>#DIV/0!</v>
      </c>
      <c r="H235" s="3"/>
    </row>
    <row r="236" spans="1:8" ht="45" x14ac:dyDescent="0.25">
      <c r="A236" s="6"/>
      <c r="B236" s="20" t="s">
        <v>869</v>
      </c>
      <c r="C236" s="6" t="s">
        <v>870</v>
      </c>
      <c r="D236" s="11" t="s">
        <v>1267</v>
      </c>
      <c r="E236" s="10"/>
      <c r="F236" s="10"/>
      <c r="G236" s="10"/>
    </row>
    <row r="237" spans="1:8" x14ac:dyDescent="0.25">
      <c r="A237" s="6"/>
      <c r="B237" s="20" t="s">
        <v>1333</v>
      </c>
      <c r="C237" s="6"/>
      <c r="D237" s="11"/>
      <c r="E237" s="10"/>
      <c r="F237" s="10">
        <v>2126</v>
      </c>
      <c r="G237" s="10"/>
    </row>
    <row r="238" spans="1:8" x14ac:dyDescent="0.25">
      <c r="A238" s="6"/>
      <c r="B238" s="20" t="s">
        <v>1335</v>
      </c>
      <c r="C238" s="6"/>
      <c r="D238" s="11"/>
      <c r="E238" s="10"/>
      <c r="F238" s="10">
        <v>0</v>
      </c>
      <c r="G238" s="10"/>
    </row>
    <row r="239" spans="1:8" ht="45" x14ac:dyDescent="0.25">
      <c r="A239" s="6"/>
      <c r="B239" s="20" t="s">
        <v>855</v>
      </c>
      <c r="C239" s="6" t="s">
        <v>856</v>
      </c>
      <c r="D239" s="11" t="s">
        <v>1267</v>
      </c>
      <c r="E239" s="10"/>
      <c r="F239" s="10"/>
      <c r="G239" s="10"/>
    </row>
    <row r="240" spans="1:8" x14ac:dyDescent="0.25">
      <c r="A240" s="6"/>
      <c r="B240" s="20" t="s">
        <v>1333</v>
      </c>
      <c r="C240" s="6"/>
      <c r="D240" s="11"/>
      <c r="E240" s="10"/>
      <c r="F240" s="10">
        <v>324880</v>
      </c>
      <c r="G240" s="10"/>
    </row>
    <row r="241" spans="1:7" x14ac:dyDescent="0.25">
      <c r="A241" s="6"/>
      <c r="B241" s="20" t="s">
        <v>1335</v>
      </c>
      <c r="C241" s="6"/>
      <c r="D241" s="11"/>
      <c r="E241" s="10"/>
      <c r="F241" s="10">
        <v>17605</v>
      </c>
      <c r="G241" s="10"/>
    </row>
    <row r="242" spans="1:7" ht="45" x14ac:dyDescent="0.25">
      <c r="A242" s="6"/>
      <c r="B242" s="20" t="s">
        <v>871</v>
      </c>
      <c r="C242" s="6" t="s">
        <v>872</v>
      </c>
      <c r="D242" s="11" t="s">
        <v>1267</v>
      </c>
      <c r="E242" s="10"/>
      <c r="F242" s="10"/>
      <c r="G242" s="10"/>
    </row>
    <row r="243" spans="1:7" x14ac:dyDescent="0.25">
      <c r="A243" s="6"/>
      <c r="B243" s="20" t="s">
        <v>1333</v>
      </c>
      <c r="C243" s="6"/>
      <c r="D243" s="11"/>
      <c r="E243" s="10"/>
      <c r="F243" s="10">
        <v>0</v>
      </c>
      <c r="G243" s="10"/>
    </row>
    <row r="244" spans="1:7" x14ac:dyDescent="0.25">
      <c r="A244" s="6"/>
      <c r="B244" s="20" t="s">
        <v>1335</v>
      </c>
      <c r="C244" s="6"/>
      <c r="D244" s="11"/>
      <c r="E244" s="10"/>
      <c r="F244" s="10">
        <v>0</v>
      </c>
      <c r="G244" s="10"/>
    </row>
    <row r="245" spans="1:7" ht="45" x14ac:dyDescent="0.25">
      <c r="A245" s="6"/>
      <c r="B245" s="20" t="s">
        <v>857</v>
      </c>
      <c r="C245" s="6" t="s">
        <v>866</v>
      </c>
      <c r="D245" s="11" t="s">
        <v>1267</v>
      </c>
      <c r="E245" s="10"/>
      <c r="F245" s="10"/>
      <c r="G245" s="10"/>
    </row>
    <row r="246" spans="1:7" x14ac:dyDescent="0.25">
      <c r="A246" s="6"/>
      <c r="B246" s="20" t="s">
        <v>1333</v>
      </c>
      <c r="C246" s="6"/>
      <c r="D246" s="11"/>
      <c r="E246" s="10"/>
      <c r="F246" s="10">
        <v>98509</v>
      </c>
      <c r="G246" s="10"/>
    </row>
    <row r="247" spans="1:7" x14ac:dyDescent="0.25">
      <c r="A247" s="6"/>
      <c r="B247" s="20" t="s">
        <v>1335</v>
      </c>
      <c r="C247" s="6"/>
      <c r="D247" s="11"/>
      <c r="E247" s="10"/>
      <c r="F247" s="10">
        <v>58</v>
      </c>
      <c r="G247" s="10"/>
    </row>
  </sheetData>
  <mergeCells count="21">
    <mergeCell ref="A167:A168"/>
    <mergeCell ref="B167:B168"/>
    <mergeCell ref="A165:A166"/>
    <mergeCell ref="B165:B166"/>
    <mergeCell ref="B78:B79"/>
    <mergeCell ref="A78:A79"/>
    <mergeCell ref="B91:B92"/>
    <mergeCell ref="A91:A92"/>
    <mergeCell ref="A141:A142"/>
    <mergeCell ref="B141:B142"/>
    <mergeCell ref="A143:A144"/>
    <mergeCell ref="B143:B144"/>
    <mergeCell ref="A148:A150"/>
    <mergeCell ref="B148:B150"/>
    <mergeCell ref="B133:B135"/>
    <mergeCell ref="A133:A135"/>
    <mergeCell ref="A11:A12"/>
    <mergeCell ref="A3:G3"/>
    <mergeCell ref="A4:G4"/>
    <mergeCell ref="A7:G7"/>
    <mergeCell ref="A8:G8"/>
  </mergeCells>
  <pageMargins left="0.7" right="0.7" top="0.75" bottom="0.75" header="0.3" footer="0.3"/>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3:L136"/>
  <sheetViews>
    <sheetView topLeftCell="B28" zoomScale="90" zoomScaleNormal="90" zoomScaleSheetLayoutView="100" workbookViewId="0">
      <selection activeCell="K24" sqref="K24:K26"/>
    </sheetView>
  </sheetViews>
  <sheetFormatPr defaultRowHeight="15" x14ac:dyDescent="0.25"/>
  <cols>
    <col min="1" max="1" width="7.85546875" style="288" customWidth="1"/>
    <col min="2" max="2" width="75.140625" style="288" customWidth="1"/>
    <col min="3" max="3" width="16.5703125" style="288" customWidth="1"/>
    <col min="4" max="4" width="14" style="288" customWidth="1"/>
    <col min="5" max="5" width="16.140625" style="288" hidden="1" customWidth="1"/>
    <col min="6" max="10" width="12.28515625" style="288" customWidth="1"/>
    <col min="11" max="11" width="13.5703125" style="288" customWidth="1"/>
    <col min="12" max="12" width="41.85546875" style="288" customWidth="1"/>
    <col min="13" max="16384" width="9.140625" style="288"/>
  </cols>
  <sheetData>
    <row r="3" spans="1:12" ht="18.75" x14ac:dyDescent="0.3">
      <c r="A3" s="447" t="s">
        <v>0</v>
      </c>
      <c r="B3" s="447"/>
      <c r="C3" s="447"/>
      <c r="D3" s="447"/>
      <c r="E3" s="447"/>
      <c r="F3" s="447"/>
      <c r="G3" s="447"/>
      <c r="H3" s="447"/>
      <c r="I3" s="286"/>
      <c r="J3" s="286"/>
      <c r="K3" s="286"/>
      <c r="L3" s="287"/>
    </row>
    <row r="4" spans="1:12" ht="18.75" x14ac:dyDescent="0.3">
      <c r="A4" s="447" t="s">
        <v>1</v>
      </c>
      <c r="B4" s="447"/>
      <c r="C4" s="447"/>
      <c r="D4" s="447"/>
      <c r="E4" s="447"/>
      <c r="F4" s="447"/>
      <c r="G4" s="447"/>
      <c r="H4" s="447"/>
      <c r="I4" s="286"/>
      <c r="J4" s="286"/>
      <c r="K4" s="286"/>
      <c r="L4" s="286"/>
    </row>
    <row r="5" spans="1:12" x14ac:dyDescent="0.25">
      <c r="A5" s="289"/>
      <c r="B5" s="289"/>
      <c r="C5" s="289"/>
      <c r="D5" s="289"/>
      <c r="E5" s="289"/>
      <c r="F5" s="289"/>
      <c r="G5" s="289"/>
      <c r="H5" s="289"/>
      <c r="I5" s="289"/>
      <c r="J5" s="289"/>
      <c r="K5" s="289"/>
      <c r="L5" s="289"/>
    </row>
    <row r="6" spans="1:12" ht="45" x14ac:dyDescent="0.25">
      <c r="A6" s="290" t="s">
        <v>6</v>
      </c>
      <c r="B6" s="290" t="s">
        <v>380</v>
      </c>
      <c r="C6" s="291" t="s">
        <v>10</v>
      </c>
      <c r="D6" s="291" t="s">
        <v>11</v>
      </c>
      <c r="E6" s="291" t="s">
        <v>1515</v>
      </c>
      <c r="F6" s="291" t="s">
        <v>1494</v>
      </c>
      <c r="G6" s="291" t="s">
        <v>1495</v>
      </c>
      <c r="H6" s="291" t="s">
        <v>1516</v>
      </c>
      <c r="I6" s="291" t="s">
        <v>1583</v>
      </c>
      <c r="J6" s="344" t="s">
        <v>1584</v>
      </c>
      <c r="K6" s="291" t="s">
        <v>1743</v>
      </c>
      <c r="L6" s="292" t="s">
        <v>12</v>
      </c>
    </row>
    <row r="7" spans="1:12" ht="15" customHeight="1" x14ac:dyDescent="0.25">
      <c r="A7" s="448" t="s">
        <v>876</v>
      </c>
      <c r="B7" s="448"/>
      <c r="C7" s="448"/>
      <c r="D7" s="448"/>
      <c r="E7" s="448"/>
      <c r="F7" s="448"/>
      <c r="G7" s="448"/>
      <c r="H7" s="448"/>
      <c r="I7" s="313"/>
      <c r="J7" s="313"/>
      <c r="K7" s="293"/>
    </row>
    <row r="8" spans="1:12" ht="30.75" customHeight="1" x14ac:dyDescent="0.25">
      <c r="A8" s="448" t="s">
        <v>877</v>
      </c>
      <c r="B8" s="448"/>
      <c r="C8" s="448"/>
      <c r="D8" s="448"/>
      <c r="E8" s="448"/>
      <c r="F8" s="448"/>
      <c r="G8" s="448"/>
      <c r="H8" s="448"/>
      <c r="I8" s="293"/>
      <c r="J8" s="293"/>
      <c r="K8" s="293"/>
    </row>
    <row r="9" spans="1:12" ht="30" x14ac:dyDescent="0.25">
      <c r="A9" s="294" t="s">
        <v>879</v>
      </c>
      <c r="B9" s="295" t="s">
        <v>878</v>
      </c>
      <c r="C9" s="206"/>
      <c r="D9" s="296"/>
      <c r="E9" s="296"/>
      <c r="F9" s="296"/>
      <c r="G9" s="296"/>
      <c r="H9" s="296"/>
      <c r="I9" s="296"/>
      <c r="J9" s="345"/>
      <c r="K9" s="109"/>
    </row>
    <row r="10" spans="1:12" ht="45" x14ac:dyDescent="0.25">
      <c r="A10" s="95" t="s">
        <v>880</v>
      </c>
      <c r="B10" s="297" t="s">
        <v>1715</v>
      </c>
      <c r="C10" s="15"/>
      <c r="D10" s="95" t="s">
        <v>9</v>
      </c>
      <c r="E10" s="153">
        <f>(E24+E25+E26+E27+E28)/E29*100</f>
        <v>57.410221161035139</v>
      </c>
      <c r="F10" s="153">
        <f>(F24+F25+F26+F27+F28)/F29*100</f>
        <v>41.562443356896864</v>
      </c>
      <c r="G10" s="153">
        <f>(G24+G25+G26+G27+G28)/G29*100</f>
        <v>59.058950784207674</v>
      </c>
      <c r="H10" s="153">
        <f>(H24+H25+H26+H27+H28)/H29*100</f>
        <v>49.97270245677889</v>
      </c>
      <c r="I10" s="153">
        <v>62.6</v>
      </c>
      <c r="J10" s="346">
        <v>67.400000000000006</v>
      </c>
      <c r="K10" s="153">
        <v>100</v>
      </c>
      <c r="L10" s="298" t="s">
        <v>24</v>
      </c>
    </row>
    <row r="11" spans="1:12" x14ac:dyDescent="0.25">
      <c r="A11" s="152" t="s">
        <v>1716</v>
      </c>
      <c r="B11" s="314"/>
      <c r="C11" s="15"/>
      <c r="D11" s="95"/>
      <c r="E11" s="153"/>
      <c r="F11" s="153"/>
      <c r="G11" s="153"/>
      <c r="H11" s="153"/>
      <c r="I11" s="153"/>
      <c r="J11" s="346"/>
      <c r="K11" s="153"/>
      <c r="L11" s="298"/>
    </row>
    <row r="12" spans="1:12" x14ac:dyDescent="0.25">
      <c r="A12" s="152"/>
      <c r="B12" s="314" t="s">
        <v>1717</v>
      </c>
      <c r="C12" s="15"/>
      <c r="D12" s="95" t="s">
        <v>9</v>
      </c>
      <c r="E12" s="153"/>
      <c r="F12" s="153"/>
      <c r="G12" s="153"/>
      <c r="H12" s="153"/>
      <c r="I12" s="153">
        <v>10.8</v>
      </c>
      <c r="J12" s="346">
        <v>12.7</v>
      </c>
      <c r="K12" s="153">
        <v>19.3</v>
      </c>
      <c r="L12" s="298"/>
    </row>
    <row r="13" spans="1:12" x14ac:dyDescent="0.25">
      <c r="A13" s="152"/>
      <c r="B13" s="314" t="s">
        <v>1718</v>
      </c>
      <c r="C13" s="15"/>
      <c r="D13" s="95" t="s">
        <v>9</v>
      </c>
      <c r="E13" s="153"/>
      <c r="F13" s="153"/>
      <c r="G13" s="153"/>
      <c r="H13" s="153"/>
      <c r="I13" s="153">
        <v>1.8</v>
      </c>
      <c r="J13" s="346">
        <v>1.8</v>
      </c>
      <c r="K13" s="153">
        <v>5.4</v>
      </c>
      <c r="L13" s="298"/>
    </row>
    <row r="14" spans="1:12" x14ac:dyDescent="0.25">
      <c r="A14" s="152"/>
      <c r="B14" s="314" t="s">
        <v>1719</v>
      </c>
      <c r="C14" s="15"/>
      <c r="D14" s="95" t="s">
        <v>9</v>
      </c>
      <c r="E14" s="153"/>
      <c r="F14" s="153"/>
      <c r="G14" s="153"/>
      <c r="H14" s="153"/>
      <c r="I14" s="153">
        <v>3.6</v>
      </c>
      <c r="J14" s="346">
        <v>3.5</v>
      </c>
      <c r="K14" s="153">
        <v>3.7</v>
      </c>
      <c r="L14" s="298"/>
    </row>
    <row r="15" spans="1:12" x14ac:dyDescent="0.25">
      <c r="A15" s="152"/>
      <c r="B15" s="314" t="s">
        <v>1720</v>
      </c>
      <c r="C15" s="15"/>
      <c r="D15" s="95" t="s">
        <v>9</v>
      </c>
      <c r="E15" s="153"/>
      <c r="F15" s="153"/>
      <c r="G15" s="153"/>
      <c r="H15" s="153"/>
      <c r="I15" s="153">
        <v>6.1</v>
      </c>
      <c r="J15" s="346">
        <v>3.5</v>
      </c>
      <c r="K15" s="153">
        <v>11.9</v>
      </c>
      <c r="L15" s="298"/>
    </row>
    <row r="16" spans="1:12" x14ac:dyDescent="0.25">
      <c r="A16" s="152"/>
      <c r="B16" s="314" t="s">
        <v>1721</v>
      </c>
      <c r="C16" s="15"/>
      <c r="D16" s="95"/>
      <c r="E16" s="153"/>
      <c r="F16" s="153"/>
      <c r="G16" s="153"/>
      <c r="H16" s="153"/>
      <c r="I16" s="153"/>
      <c r="J16" s="346"/>
      <c r="K16" s="153"/>
      <c r="L16" s="298"/>
    </row>
    <row r="17" spans="1:12" x14ac:dyDescent="0.25">
      <c r="A17" s="152"/>
      <c r="B17" s="314" t="s">
        <v>1722</v>
      </c>
      <c r="C17" s="15"/>
      <c r="D17" s="95" t="s">
        <v>9</v>
      </c>
      <c r="E17" s="153"/>
      <c r="F17" s="153"/>
      <c r="G17" s="153"/>
      <c r="H17" s="153"/>
      <c r="I17" s="153">
        <v>24.9</v>
      </c>
      <c r="J17" s="346">
        <v>27</v>
      </c>
      <c r="K17" s="153">
        <v>29.5</v>
      </c>
      <c r="L17" s="298"/>
    </row>
    <row r="18" spans="1:12" x14ac:dyDescent="0.25">
      <c r="A18" s="152"/>
      <c r="B18" s="314" t="s">
        <v>1723</v>
      </c>
      <c r="C18" s="15"/>
      <c r="D18" s="95" t="s">
        <v>9</v>
      </c>
      <c r="E18" s="153"/>
      <c r="F18" s="153"/>
      <c r="G18" s="153"/>
      <c r="H18" s="153"/>
      <c r="I18" s="153">
        <v>16.3</v>
      </c>
      <c r="J18" s="346">
        <v>15.6</v>
      </c>
      <c r="K18" s="153">
        <v>11.8</v>
      </c>
      <c r="L18" s="298"/>
    </row>
    <row r="19" spans="1:12" x14ac:dyDescent="0.25">
      <c r="A19" s="152"/>
      <c r="B19" s="314" t="s">
        <v>1724</v>
      </c>
      <c r="C19" s="15"/>
      <c r="D19" s="95"/>
      <c r="E19" s="153"/>
      <c r="F19" s="153"/>
      <c r="G19" s="153"/>
      <c r="H19" s="153"/>
      <c r="I19" s="153"/>
      <c r="J19" s="346"/>
      <c r="K19" s="153"/>
      <c r="L19" s="298"/>
    </row>
    <row r="20" spans="1:12" x14ac:dyDescent="0.25">
      <c r="A20" s="152"/>
      <c r="B20" s="314" t="s">
        <v>1722</v>
      </c>
      <c r="C20" s="15"/>
      <c r="D20" s="95" t="s">
        <v>9</v>
      </c>
      <c r="E20" s="153"/>
      <c r="F20" s="153"/>
      <c r="G20" s="153"/>
      <c r="H20" s="153"/>
      <c r="I20" s="153">
        <v>20.5</v>
      </c>
      <c r="J20" s="346">
        <v>19.600000000000001</v>
      </c>
      <c r="K20" s="153">
        <v>20.7</v>
      </c>
      <c r="L20" s="298"/>
    </row>
    <row r="21" spans="1:12" x14ac:dyDescent="0.25">
      <c r="A21" s="152"/>
      <c r="B21" s="314" t="s">
        <v>1723</v>
      </c>
      <c r="C21" s="15"/>
      <c r="D21" s="95" t="s">
        <v>9</v>
      </c>
      <c r="E21" s="153"/>
      <c r="F21" s="153"/>
      <c r="G21" s="153"/>
      <c r="H21" s="153"/>
      <c r="I21" s="153">
        <v>16</v>
      </c>
      <c r="J21" s="346">
        <v>16</v>
      </c>
      <c r="K21" s="153">
        <v>16.899999999999999</v>
      </c>
      <c r="L21" s="298"/>
    </row>
    <row r="22" spans="1:12" ht="60" x14ac:dyDescent="0.25">
      <c r="A22" s="152" t="s">
        <v>1725</v>
      </c>
      <c r="B22" s="314" t="s">
        <v>1726</v>
      </c>
      <c r="C22" s="15"/>
      <c r="D22" s="95" t="s">
        <v>9</v>
      </c>
      <c r="E22" s="153"/>
      <c r="F22" s="153"/>
      <c r="G22" s="153"/>
      <c r="H22" s="153"/>
      <c r="I22" s="153">
        <v>1.6</v>
      </c>
      <c r="J22" s="346">
        <v>1.6</v>
      </c>
      <c r="K22" s="153">
        <v>3.4</v>
      </c>
      <c r="L22" s="298"/>
    </row>
    <row r="23" spans="1:12" ht="30" x14ac:dyDescent="0.25">
      <c r="A23" s="152"/>
      <c r="B23" s="15" t="s">
        <v>889</v>
      </c>
      <c r="C23" s="95" t="s">
        <v>142</v>
      </c>
      <c r="D23" s="95" t="s">
        <v>1076</v>
      </c>
      <c r="E23" s="95">
        <v>248778</v>
      </c>
      <c r="F23" s="299">
        <v>5517</v>
      </c>
      <c r="G23" s="299">
        <v>5547</v>
      </c>
      <c r="H23" s="299">
        <v>5495</v>
      </c>
      <c r="I23" s="299">
        <v>5463</v>
      </c>
      <c r="J23" s="347">
        <v>5288</v>
      </c>
      <c r="K23" s="299">
        <v>5658</v>
      </c>
      <c r="L23" s="298"/>
    </row>
    <row r="24" spans="1:12" ht="45" customHeight="1" x14ac:dyDescent="0.25">
      <c r="A24" s="433"/>
      <c r="B24" s="433" t="s">
        <v>881</v>
      </c>
      <c r="C24" s="95" t="s">
        <v>882</v>
      </c>
      <c r="D24" s="95" t="s">
        <v>1076</v>
      </c>
      <c r="E24" s="95">
        <v>35841</v>
      </c>
      <c r="F24" s="299">
        <v>690</v>
      </c>
      <c r="G24" s="299">
        <v>819</v>
      </c>
      <c r="H24" s="299">
        <v>716</v>
      </c>
      <c r="I24" s="299">
        <v>924</v>
      </c>
      <c r="J24" s="347">
        <v>982</v>
      </c>
      <c r="K24" s="299">
        <v>846</v>
      </c>
    </row>
    <row r="25" spans="1:12" ht="45" customHeight="1" x14ac:dyDescent="0.25">
      <c r="A25" s="434"/>
      <c r="B25" s="434"/>
      <c r="C25" s="95" t="s">
        <v>883</v>
      </c>
      <c r="D25" s="95" t="s">
        <v>1076</v>
      </c>
      <c r="E25" s="95">
        <v>27769</v>
      </c>
      <c r="F25" s="299">
        <v>1172</v>
      </c>
      <c r="G25" s="299">
        <v>1048</v>
      </c>
      <c r="H25" s="299">
        <v>1116</v>
      </c>
      <c r="I25" s="299">
        <v>1131</v>
      </c>
      <c r="J25" s="347">
        <v>1201</v>
      </c>
      <c r="K25" s="299">
        <v>945</v>
      </c>
    </row>
    <row r="26" spans="1:12" ht="45" customHeight="1" x14ac:dyDescent="0.25">
      <c r="A26" s="434"/>
      <c r="B26" s="434"/>
      <c r="C26" s="95" t="s">
        <v>884</v>
      </c>
      <c r="D26" s="95" t="s">
        <v>1076</v>
      </c>
      <c r="E26" s="95">
        <v>12364</v>
      </c>
      <c r="F26" s="299">
        <v>431</v>
      </c>
      <c r="G26" s="299">
        <v>296</v>
      </c>
      <c r="H26" s="299">
        <v>352</v>
      </c>
      <c r="I26" s="299">
        <v>247</v>
      </c>
      <c r="J26" s="347">
        <v>257</v>
      </c>
      <c r="K26" s="299">
        <v>248</v>
      </c>
    </row>
    <row r="27" spans="1:12" ht="60" x14ac:dyDescent="0.25">
      <c r="A27" s="300"/>
      <c r="B27" s="92" t="s">
        <v>885</v>
      </c>
      <c r="C27" s="102" t="s">
        <v>886</v>
      </c>
      <c r="D27" s="102" t="s">
        <v>1076</v>
      </c>
      <c r="E27" s="207">
        <v>18317</v>
      </c>
      <c r="F27" s="104"/>
      <c r="G27" s="104">
        <v>585</v>
      </c>
      <c r="H27" s="104">
        <v>562</v>
      </c>
      <c r="I27" s="104">
        <v>565</v>
      </c>
      <c r="J27" s="348">
        <v>555</v>
      </c>
      <c r="K27" s="104">
        <v>629</v>
      </c>
    </row>
    <row r="28" spans="1:12" ht="45" x14ac:dyDescent="0.25">
      <c r="A28" s="300"/>
      <c r="B28" s="92" t="s">
        <v>887</v>
      </c>
      <c r="C28" s="102" t="s">
        <v>888</v>
      </c>
      <c r="D28" s="102" t="s">
        <v>1076</v>
      </c>
      <c r="E28" s="207">
        <v>48533</v>
      </c>
      <c r="F28" s="104"/>
      <c r="G28" s="104">
        <v>528</v>
      </c>
      <c r="H28" s="104"/>
      <c r="I28" s="104">
        <v>552</v>
      </c>
      <c r="J28" s="348">
        <v>570</v>
      </c>
      <c r="K28" s="104">
        <v>675</v>
      </c>
      <c r="L28" s="301"/>
    </row>
    <row r="29" spans="1:12" ht="30" x14ac:dyDescent="0.25">
      <c r="A29" s="297"/>
      <c r="B29" s="15" t="s">
        <v>889</v>
      </c>
      <c r="C29" s="95" t="s">
        <v>142</v>
      </c>
      <c r="D29" s="95" t="s">
        <v>1076</v>
      </c>
      <c r="E29" s="95">
        <v>248778</v>
      </c>
      <c r="F29" s="299">
        <v>5517</v>
      </c>
      <c r="G29" s="299">
        <v>5547</v>
      </c>
      <c r="H29" s="299">
        <v>5495</v>
      </c>
      <c r="I29" s="299">
        <v>5463</v>
      </c>
      <c r="J29" s="347">
        <v>5288</v>
      </c>
      <c r="K29" s="299">
        <v>5658</v>
      </c>
    </row>
    <row r="30" spans="1:12" ht="45" x14ac:dyDescent="0.25">
      <c r="A30" s="107" t="s">
        <v>890</v>
      </c>
      <c r="B30" s="302" t="s">
        <v>891</v>
      </c>
      <c r="C30" s="109"/>
      <c r="D30" s="95"/>
      <c r="E30" s="95"/>
      <c r="F30" s="149"/>
      <c r="G30" s="149"/>
      <c r="H30" s="149"/>
      <c r="I30" s="149"/>
      <c r="J30" s="349"/>
      <c r="K30" s="149"/>
    </row>
    <row r="31" spans="1:12" ht="60" x14ac:dyDescent="0.25">
      <c r="A31" s="95" t="s">
        <v>893</v>
      </c>
      <c r="B31" s="96" t="s">
        <v>1491</v>
      </c>
      <c r="C31" s="95"/>
      <c r="D31" s="95" t="s">
        <v>9</v>
      </c>
      <c r="E31" s="95"/>
      <c r="F31" s="149"/>
      <c r="G31" s="149"/>
      <c r="H31" s="149"/>
      <c r="I31" s="149">
        <v>0</v>
      </c>
      <c r="J31" s="349">
        <v>0.3</v>
      </c>
      <c r="K31" s="149">
        <v>12</v>
      </c>
    </row>
    <row r="32" spans="1:12" ht="30" x14ac:dyDescent="0.25">
      <c r="A32" s="315" t="s">
        <v>1489</v>
      </c>
      <c r="B32" s="96" t="s">
        <v>1727</v>
      </c>
      <c r="C32" s="95"/>
      <c r="D32" s="95" t="s">
        <v>9</v>
      </c>
      <c r="E32" s="95"/>
      <c r="F32" s="149"/>
      <c r="G32" s="149"/>
      <c r="H32" s="149"/>
      <c r="I32" s="149">
        <v>0</v>
      </c>
      <c r="J32" s="349">
        <v>0.2</v>
      </c>
      <c r="K32" s="149">
        <v>1</v>
      </c>
    </row>
    <row r="33" spans="1:12" x14ac:dyDescent="0.25">
      <c r="A33" s="107"/>
      <c r="B33" s="302"/>
      <c r="C33" s="109"/>
      <c r="D33" s="95"/>
      <c r="E33" s="95"/>
      <c r="F33" s="149"/>
      <c r="G33" s="149"/>
      <c r="H33" s="149"/>
      <c r="I33" s="149"/>
      <c r="J33" s="349"/>
      <c r="K33" s="149"/>
    </row>
    <row r="34" spans="1:12" ht="90" x14ac:dyDescent="0.25">
      <c r="A34" s="95" t="s">
        <v>893</v>
      </c>
      <c r="B34" s="15" t="s">
        <v>892</v>
      </c>
      <c r="C34" s="109"/>
      <c r="D34" s="95"/>
      <c r="E34" s="95"/>
      <c r="F34" s="153"/>
      <c r="G34" s="153"/>
      <c r="H34" s="153"/>
      <c r="I34" s="153"/>
      <c r="J34" s="346"/>
      <c r="K34" s="153"/>
      <c r="L34" s="298" t="s">
        <v>24</v>
      </c>
    </row>
    <row r="35" spans="1:12" x14ac:dyDescent="0.25">
      <c r="A35" s="95"/>
      <c r="B35" s="302" t="s">
        <v>915</v>
      </c>
      <c r="C35" s="109"/>
      <c r="D35" s="95" t="s">
        <v>9</v>
      </c>
      <c r="E35" s="95"/>
      <c r="F35" s="153">
        <f>F46/(F46+F57+F58)*100</f>
        <v>100</v>
      </c>
      <c r="G35" s="153">
        <f>G46/(G46+G57+G58)*100</f>
        <v>100</v>
      </c>
      <c r="H35" s="153">
        <f>H46/(H46+H57+H58)*100</f>
        <v>100</v>
      </c>
      <c r="I35" s="153">
        <v>100</v>
      </c>
      <c r="J35" s="346">
        <v>100</v>
      </c>
      <c r="K35" s="153">
        <v>100</v>
      </c>
      <c r="L35" s="298"/>
    </row>
    <row r="36" spans="1:12" x14ac:dyDescent="0.25">
      <c r="A36" s="95"/>
      <c r="B36" s="15" t="s">
        <v>895</v>
      </c>
      <c r="C36" s="109"/>
      <c r="D36" s="95" t="s">
        <v>9</v>
      </c>
      <c r="E36" s="95"/>
      <c r="F36" s="153">
        <f t="shared" ref="F36:F41" si="0">F48/($F$46+$F$59+$F$60)*100</f>
        <v>100</v>
      </c>
      <c r="G36" s="153">
        <f t="shared" ref="G36:H41" si="1">G48/($G$46+$G$57+$G$58)*100</f>
        <v>100</v>
      </c>
      <c r="H36" s="153">
        <v>100</v>
      </c>
      <c r="I36" s="153">
        <v>100</v>
      </c>
      <c r="J36" s="346">
        <v>100</v>
      </c>
      <c r="K36" s="153">
        <v>100</v>
      </c>
      <c r="L36" s="298"/>
    </row>
    <row r="37" spans="1:12" x14ac:dyDescent="0.25">
      <c r="A37" s="95"/>
      <c r="B37" s="15" t="s">
        <v>905</v>
      </c>
      <c r="C37" s="109"/>
      <c r="D37" s="95" t="s">
        <v>9</v>
      </c>
      <c r="E37" s="95"/>
      <c r="F37" s="153">
        <f t="shared" si="0"/>
        <v>0</v>
      </c>
      <c r="G37" s="153">
        <f t="shared" si="1"/>
        <v>0</v>
      </c>
      <c r="H37" s="153">
        <f t="shared" si="1"/>
        <v>0</v>
      </c>
      <c r="I37" s="153">
        <v>0</v>
      </c>
      <c r="J37" s="346">
        <v>0</v>
      </c>
      <c r="K37" s="153">
        <v>0</v>
      </c>
      <c r="L37" s="298"/>
    </row>
    <row r="38" spans="1:12" x14ac:dyDescent="0.25">
      <c r="A38" s="95"/>
      <c r="B38" s="15" t="s">
        <v>906</v>
      </c>
      <c r="C38" s="109"/>
      <c r="D38" s="95" t="s">
        <v>9</v>
      </c>
      <c r="E38" s="95"/>
      <c r="F38" s="153">
        <f t="shared" si="0"/>
        <v>0</v>
      </c>
      <c r="G38" s="153">
        <f t="shared" si="1"/>
        <v>0</v>
      </c>
      <c r="H38" s="153">
        <f t="shared" si="1"/>
        <v>0</v>
      </c>
      <c r="I38" s="153">
        <v>0</v>
      </c>
      <c r="J38" s="346">
        <v>0</v>
      </c>
      <c r="K38" s="153">
        <v>0</v>
      </c>
      <c r="L38" s="298"/>
    </row>
    <row r="39" spans="1:12" x14ac:dyDescent="0.25">
      <c r="A39" s="95"/>
      <c r="B39" s="15" t="s">
        <v>907</v>
      </c>
      <c r="C39" s="109"/>
      <c r="D39" s="95" t="s">
        <v>9</v>
      </c>
      <c r="E39" s="95"/>
      <c r="F39" s="153">
        <f t="shared" si="0"/>
        <v>0</v>
      </c>
      <c r="G39" s="153">
        <f t="shared" si="1"/>
        <v>0</v>
      </c>
      <c r="H39" s="153">
        <f t="shared" si="1"/>
        <v>0</v>
      </c>
      <c r="I39" s="153">
        <v>0</v>
      </c>
      <c r="J39" s="346">
        <v>0</v>
      </c>
      <c r="K39" s="153">
        <v>0</v>
      </c>
      <c r="L39" s="298"/>
    </row>
    <row r="40" spans="1:12" x14ac:dyDescent="0.25">
      <c r="A40" s="95"/>
      <c r="B40" s="15" t="s">
        <v>908</v>
      </c>
      <c r="C40" s="109"/>
      <c r="D40" s="95" t="s">
        <v>9</v>
      </c>
      <c r="E40" s="95"/>
      <c r="F40" s="153">
        <f t="shared" si="0"/>
        <v>0</v>
      </c>
      <c r="G40" s="153">
        <f t="shared" si="1"/>
        <v>0</v>
      </c>
      <c r="H40" s="153">
        <f t="shared" si="1"/>
        <v>0</v>
      </c>
      <c r="I40" s="153">
        <v>0</v>
      </c>
      <c r="J40" s="346">
        <v>0</v>
      </c>
      <c r="K40" s="153">
        <v>0</v>
      </c>
      <c r="L40" s="298"/>
    </row>
    <row r="41" spans="1:12" x14ac:dyDescent="0.25">
      <c r="A41" s="95"/>
      <c r="B41" s="15" t="s">
        <v>909</v>
      </c>
      <c r="C41" s="109"/>
      <c r="D41" s="95" t="s">
        <v>9</v>
      </c>
      <c r="E41" s="95"/>
      <c r="F41" s="153">
        <f t="shared" si="0"/>
        <v>0</v>
      </c>
      <c r="G41" s="153">
        <f t="shared" si="1"/>
        <v>0</v>
      </c>
      <c r="H41" s="153">
        <f t="shared" si="1"/>
        <v>0</v>
      </c>
      <c r="I41" s="153">
        <v>0</v>
      </c>
      <c r="J41" s="346">
        <v>0</v>
      </c>
      <c r="K41" s="153">
        <v>0</v>
      </c>
      <c r="L41" s="298"/>
    </row>
    <row r="42" spans="1:12" x14ac:dyDescent="0.25">
      <c r="A42" s="95"/>
      <c r="B42" s="151" t="s">
        <v>910</v>
      </c>
      <c r="C42" s="109"/>
      <c r="D42" s="95" t="s">
        <v>9</v>
      </c>
      <c r="E42" s="95"/>
      <c r="F42" s="153">
        <f>(F54)/($F$46+$F$59+$F$60)*100</f>
        <v>0</v>
      </c>
      <c r="G42" s="153">
        <f>(G54)/($G$46+$G$57+$G$58)*100</f>
        <v>0</v>
      </c>
      <c r="H42" s="153">
        <f>(H54)/($G$46+$G$57+$G$58)*100</f>
        <v>0</v>
      </c>
      <c r="I42" s="153">
        <v>0</v>
      </c>
      <c r="J42" s="346">
        <v>0</v>
      </c>
      <c r="K42" s="153">
        <v>0</v>
      </c>
      <c r="L42" s="298"/>
    </row>
    <row r="43" spans="1:12" x14ac:dyDescent="0.25">
      <c r="A43" s="95"/>
      <c r="B43" s="15" t="s">
        <v>911</v>
      </c>
      <c r="C43" s="109"/>
      <c r="D43" s="95" t="s">
        <v>9</v>
      </c>
      <c r="E43" s="95"/>
      <c r="F43" s="153">
        <f>(F56+F55)/($F$46+$F$59+$F$60)*100</f>
        <v>0</v>
      </c>
      <c r="G43" s="153">
        <f>(G56+G55)/($G$46+$G$57+$G$58)*100</f>
        <v>0</v>
      </c>
      <c r="H43" s="153">
        <f>(H56+H55)/($G$46+$G$57+$G$58)*100</f>
        <v>0</v>
      </c>
      <c r="I43" s="153">
        <v>0</v>
      </c>
      <c r="J43" s="346">
        <v>0</v>
      </c>
      <c r="K43" s="153">
        <v>0</v>
      </c>
      <c r="L43" s="298"/>
    </row>
    <row r="44" spans="1:12" x14ac:dyDescent="0.25">
      <c r="A44" s="95"/>
      <c r="B44" s="302" t="s">
        <v>916</v>
      </c>
      <c r="C44" s="109"/>
      <c r="D44" s="95" t="s">
        <v>9</v>
      </c>
      <c r="E44" s="95"/>
      <c r="F44" s="153" t="s">
        <v>1500</v>
      </c>
      <c r="G44" s="153">
        <f>G57/(G46+G57+G58)*100</f>
        <v>0</v>
      </c>
      <c r="H44" s="153">
        <f>H57/(H46+H57+H58)*100</f>
        <v>0</v>
      </c>
      <c r="I44" s="153">
        <v>0</v>
      </c>
      <c r="J44" s="346">
        <v>0</v>
      </c>
      <c r="K44" s="153">
        <v>0</v>
      </c>
      <c r="L44" s="298"/>
    </row>
    <row r="45" spans="1:12" x14ac:dyDescent="0.25">
      <c r="A45" s="95"/>
      <c r="B45" s="302" t="s">
        <v>917</v>
      </c>
      <c r="C45" s="109"/>
      <c r="D45" s="95" t="s">
        <v>9</v>
      </c>
      <c r="E45" s="95"/>
      <c r="F45" s="153" t="s">
        <v>1500</v>
      </c>
      <c r="G45" s="153">
        <f>G58/(G46+G57+G58)*100</f>
        <v>0</v>
      </c>
      <c r="H45" s="153">
        <f>H58/(H46+H57+H58)*100</f>
        <v>0</v>
      </c>
      <c r="I45" s="153">
        <v>0</v>
      </c>
      <c r="J45" s="346">
        <v>0</v>
      </c>
      <c r="K45" s="153">
        <v>0</v>
      </c>
      <c r="L45" s="298"/>
    </row>
    <row r="46" spans="1:12" ht="45" x14ac:dyDescent="0.25">
      <c r="A46" s="95"/>
      <c r="B46" s="15" t="s">
        <v>894</v>
      </c>
      <c r="C46" s="109"/>
      <c r="D46" s="95" t="s">
        <v>1076</v>
      </c>
      <c r="E46" s="95"/>
      <c r="F46" s="299">
        <f>F48+F49+F50+F51+F52+F53+F54+F55+F56</f>
        <v>2320</v>
      </c>
      <c r="G46" s="299">
        <f>G48+G49+G50+G51+G52+G53+G54+G55+G56</f>
        <v>2230</v>
      </c>
      <c r="H46" s="299">
        <f>H48+H49+H50+H51+H52+H53+H54+H55+H56</f>
        <v>2240</v>
      </c>
      <c r="I46" s="299">
        <v>2340</v>
      </c>
      <c r="J46" s="347">
        <v>2472</v>
      </c>
      <c r="K46" s="299">
        <v>2043</v>
      </c>
      <c r="L46" s="298"/>
    </row>
    <row r="47" spans="1:12" x14ac:dyDescent="0.25">
      <c r="A47" s="95"/>
      <c r="B47" s="15" t="s">
        <v>1499</v>
      </c>
      <c r="C47" s="109"/>
      <c r="D47" s="95"/>
      <c r="E47" s="95"/>
      <c r="F47" s="299"/>
      <c r="G47" s="299"/>
      <c r="H47" s="299"/>
      <c r="I47" s="299"/>
      <c r="J47" s="347"/>
      <c r="K47" s="299"/>
      <c r="L47" s="298"/>
    </row>
    <row r="48" spans="1:12" ht="45" x14ac:dyDescent="0.25">
      <c r="A48" s="95"/>
      <c r="B48" s="15" t="s">
        <v>895</v>
      </c>
      <c r="C48" s="95" t="s">
        <v>896</v>
      </c>
      <c r="D48" s="95" t="s">
        <v>1076</v>
      </c>
      <c r="E48" s="95"/>
      <c r="F48" s="299">
        <v>2320</v>
      </c>
      <c r="G48" s="299">
        <v>2230</v>
      </c>
      <c r="H48" s="299">
        <v>2240</v>
      </c>
      <c r="I48" s="299">
        <v>2340</v>
      </c>
      <c r="J48" s="347">
        <v>2472</v>
      </c>
      <c r="K48" s="299">
        <v>2043</v>
      </c>
      <c r="L48" s="298"/>
    </row>
    <row r="49" spans="1:12" ht="45" x14ac:dyDescent="0.25">
      <c r="A49" s="95"/>
      <c r="B49" s="15" t="s">
        <v>905</v>
      </c>
      <c r="C49" s="95" t="s">
        <v>897</v>
      </c>
      <c r="D49" s="95" t="s">
        <v>1076</v>
      </c>
      <c r="E49" s="95"/>
      <c r="F49" s="299">
        <v>0</v>
      </c>
      <c r="G49" s="299">
        <v>0</v>
      </c>
      <c r="H49" s="299">
        <v>0</v>
      </c>
      <c r="I49" s="299">
        <v>0</v>
      </c>
      <c r="J49" s="347">
        <v>0</v>
      </c>
      <c r="K49" s="299">
        <v>0</v>
      </c>
      <c r="L49" s="298"/>
    </row>
    <row r="50" spans="1:12" ht="45" x14ac:dyDescent="0.25">
      <c r="A50" s="95"/>
      <c r="B50" s="15" t="s">
        <v>906</v>
      </c>
      <c r="C50" s="95" t="s">
        <v>898</v>
      </c>
      <c r="D50" s="95" t="s">
        <v>1076</v>
      </c>
      <c r="E50" s="95"/>
      <c r="F50" s="299">
        <v>0</v>
      </c>
      <c r="G50" s="299">
        <v>0</v>
      </c>
      <c r="H50" s="299">
        <v>0</v>
      </c>
      <c r="I50" s="299">
        <v>0</v>
      </c>
      <c r="J50" s="347">
        <v>0</v>
      </c>
      <c r="K50" s="299">
        <v>0</v>
      </c>
      <c r="L50" s="298"/>
    </row>
    <row r="51" spans="1:12" ht="45" x14ac:dyDescent="0.25">
      <c r="A51" s="95"/>
      <c r="B51" s="15" t="s">
        <v>907</v>
      </c>
      <c r="C51" s="95" t="s">
        <v>899</v>
      </c>
      <c r="D51" s="95" t="s">
        <v>1076</v>
      </c>
      <c r="E51" s="95"/>
      <c r="F51" s="299">
        <v>0</v>
      </c>
      <c r="G51" s="299">
        <v>0</v>
      </c>
      <c r="H51" s="299">
        <v>0</v>
      </c>
      <c r="I51" s="299">
        <v>0</v>
      </c>
      <c r="J51" s="347">
        <v>0</v>
      </c>
      <c r="K51" s="299">
        <v>0</v>
      </c>
      <c r="L51" s="298"/>
    </row>
    <row r="52" spans="1:12" ht="45" x14ac:dyDescent="0.25">
      <c r="A52" s="95"/>
      <c r="B52" s="15" t="s">
        <v>908</v>
      </c>
      <c r="C52" s="95" t="s">
        <v>900</v>
      </c>
      <c r="D52" s="95" t="s">
        <v>1076</v>
      </c>
      <c r="E52" s="95"/>
      <c r="F52" s="299">
        <v>0</v>
      </c>
      <c r="G52" s="299">
        <v>0</v>
      </c>
      <c r="H52" s="299">
        <v>0</v>
      </c>
      <c r="I52" s="299">
        <v>0</v>
      </c>
      <c r="J52" s="347">
        <v>0</v>
      </c>
      <c r="K52" s="299">
        <v>0</v>
      </c>
      <c r="L52" s="298"/>
    </row>
    <row r="53" spans="1:12" ht="45" x14ac:dyDescent="0.25">
      <c r="A53" s="95"/>
      <c r="B53" s="15" t="s">
        <v>909</v>
      </c>
      <c r="C53" s="95" t="s">
        <v>901</v>
      </c>
      <c r="D53" s="95" t="s">
        <v>1076</v>
      </c>
      <c r="E53" s="95"/>
      <c r="F53" s="299">
        <v>0</v>
      </c>
      <c r="G53" s="299">
        <v>0</v>
      </c>
      <c r="H53" s="299">
        <v>0</v>
      </c>
      <c r="I53" s="299">
        <v>0</v>
      </c>
      <c r="J53" s="347">
        <v>0</v>
      </c>
      <c r="K53" s="299">
        <v>0</v>
      </c>
      <c r="L53" s="298"/>
    </row>
    <row r="54" spans="1:12" ht="45" x14ac:dyDescent="0.25">
      <c r="A54" s="433"/>
      <c r="B54" s="433" t="s">
        <v>910</v>
      </c>
      <c r="C54" s="95" t="s">
        <v>902</v>
      </c>
      <c r="D54" s="95" t="s">
        <v>1076</v>
      </c>
      <c r="E54" s="95"/>
      <c r="F54" s="299">
        <v>0</v>
      </c>
      <c r="G54" s="299">
        <v>0</v>
      </c>
      <c r="H54" s="299">
        <v>0</v>
      </c>
      <c r="I54" s="299">
        <v>0</v>
      </c>
      <c r="J54" s="347">
        <v>0</v>
      </c>
      <c r="K54" s="299">
        <v>0</v>
      </c>
      <c r="L54" s="298"/>
    </row>
    <row r="55" spans="1:12" ht="45" x14ac:dyDescent="0.25">
      <c r="A55" s="435"/>
      <c r="B55" s="435"/>
      <c r="C55" s="95" t="s">
        <v>903</v>
      </c>
      <c r="D55" s="95" t="s">
        <v>1076</v>
      </c>
      <c r="E55" s="95"/>
      <c r="F55" s="299">
        <v>0</v>
      </c>
      <c r="G55" s="299">
        <v>0</v>
      </c>
      <c r="H55" s="299">
        <v>0</v>
      </c>
      <c r="I55" s="299">
        <v>0</v>
      </c>
      <c r="J55" s="347">
        <v>0</v>
      </c>
      <c r="K55" s="299">
        <v>0</v>
      </c>
      <c r="L55" s="298"/>
    </row>
    <row r="56" spans="1:12" ht="45" x14ac:dyDescent="0.25">
      <c r="A56" s="95"/>
      <c r="B56" s="15" t="s">
        <v>911</v>
      </c>
      <c r="C56" s="95" t="s">
        <v>904</v>
      </c>
      <c r="D56" s="95" t="s">
        <v>1076</v>
      </c>
      <c r="E56" s="95"/>
      <c r="F56" s="299">
        <v>0</v>
      </c>
      <c r="G56" s="299">
        <v>0</v>
      </c>
      <c r="H56" s="299">
        <v>0</v>
      </c>
      <c r="I56" s="299">
        <v>0</v>
      </c>
      <c r="J56" s="347">
        <v>0</v>
      </c>
      <c r="K56" s="299">
        <v>0</v>
      </c>
      <c r="L56" s="298"/>
    </row>
    <row r="57" spans="1:12" x14ac:dyDescent="0.25">
      <c r="A57" s="95"/>
      <c r="B57" s="15" t="s">
        <v>1497</v>
      </c>
      <c r="C57" s="95"/>
      <c r="D57" s="95" t="s">
        <v>1076</v>
      </c>
      <c r="E57" s="303"/>
      <c r="F57" s="299">
        <v>0</v>
      </c>
      <c r="G57" s="299">
        <v>0</v>
      </c>
      <c r="H57" s="299">
        <v>0</v>
      </c>
      <c r="I57" s="299">
        <v>0</v>
      </c>
      <c r="J57" s="347">
        <v>0</v>
      </c>
      <c r="K57" s="299">
        <v>0</v>
      </c>
      <c r="L57" s="298"/>
    </row>
    <row r="58" spans="1:12" x14ac:dyDescent="0.25">
      <c r="A58" s="95"/>
      <c r="B58" s="15" t="s">
        <v>1498</v>
      </c>
      <c r="C58" s="95"/>
      <c r="D58" s="95" t="s">
        <v>1076</v>
      </c>
      <c r="E58" s="303"/>
      <c r="F58" s="299">
        <v>0</v>
      </c>
      <c r="G58" s="299">
        <v>0</v>
      </c>
      <c r="H58" s="299">
        <v>0</v>
      </c>
      <c r="I58" s="299">
        <v>0</v>
      </c>
      <c r="J58" s="347">
        <v>0</v>
      </c>
      <c r="K58" s="299"/>
      <c r="L58" s="298"/>
    </row>
    <row r="59" spans="1:12" ht="60" x14ac:dyDescent="0.25">
      <c r="A59" s="95"/>
      <c r="B59" s="15" t="s">
        <v>912</v>
      </c>
      <c r="C59" s="95" t="s">
        <v>913</v>
      </c>
      <c r="D59" s="95" t="s">
        <v>1076</v>
      </c>
      <c r="E59" s="95"/>
      <c r="F59" s="104"/>
      <c r="G59" s="104">
        <v>585</v>
      </c>
      <c r="H59" s="149"/>
      <c r="I59" s="149">
        <v>565</v>
      </c>
      <c r="J59" s="349">
        <v>555</v>
      </c>
      <c r="K59" s="149">
        <v>629</v>
      </c>
      <c r="L59" s="298"/>
    </row>
    <row r="60" spans="1:12" ht="45" x14ac:dyDescent="0.25">
      <c r="A60" s="15"/>
      <c r="B60" s="15" t="s">
        <v>914</v>
      </c>
      <c r="C60" s="95" t="s">
        <v>888</v>
      </c>
      <c r="D60" s="95" t="s">
        <v>1076</v>
      </c>
      <c r="E60" s="95"/>
      <c r="F60" s="104"/>
      <c r="G60" s="104">
        <v>528</v>
      </c>
      <c r="H60" s="149"/>
      <c r="I60" s="149">
        <v>552</v>
      </c>
      <c r="J60" s="349">
        <v>570</v>
      </c>
      <c r="K60" s="149">
        <v>675</v>
      </c>
    </row>
    <row r="61" spans="1:12" s="200" customFormat="1" ht="45" x14ac:dyDescent="0.25">
      <c r="A61" s="201" t="s">
        <v>918</v>
      </c>
      <c r="B61" s="202" t="s">
        <v>919</v>
      </c>
      <c r="C61" s="203"/>
      <c r="D61" s="203"/>
      <c r="E61" s="203"/>
      <c r="F61" s="203"/>
      <c r="G61" s="203"/>
      <c r="H61" s="203"/>
      <c r="I61" s="203"/>
      <c r="J61" s="350"/>
      <c r="K61" s="203"/>
    </row>
    <row r="62" spans="1:12" s="200" customFormat="1" ht="60" x14ac:dyDescent="0.25">
      <c r="A62" s="199" t="s">
        <v>921</v>
      </c>
      <c r="B62" s="204" t="s">
        <v>920</v>
      </c>
      <c r="C62" s="203"/>
      <c r="D62" s="199" t="s">
        <v>9</v>
      </c>
      <c r="E62" s="199"/>
      <c r="F62" s="205">
        <f>(F63/F64/12*1000)/F65*100</f>
        <v>100.00060216593613</v>
      </c>
      <c r="G62" s="205">
        <f>(G63/G64/12*1000)/G65*100</f>
        <v>100.00067125807186</v>
      </c>
      <c r="H62" s="205">
        <f>(H63/H64/12*1000)/H65*100</f>
        <v>99.999181561743882</v>
      </c>
      <c r="I62" s="205">
        <f t="shared" ref="I62:J62" si="2">(I63/I64/12*1000)/I65*100</f>
        <v>99.999141506680317</v>
      </c>
      <c r="J62" s="351">
        <f t="shared" si="2"/>
        <v>99.998822817294425</v>
      </c>
      <c r="K62" s="205" t="e">
        <f>(K63/K64/12*1000)/K65*100</f>
        <v>#DIV/0!</v>
      </c>
      <c r="L62" s="312" t="s">
        <v>24</v>
      </c>
    </row>
    <row r="63" spans="1:12" ht="75" x14ac:dyDescent="0.25">
      <c r="A63" s="199"/>
      <c r="B63" s="204" t="s">
        <v>922</v>
      </c>
      <c r="C63" s="199" t="s">
        <v>923</v>
      </c>
      <c r="D63" s="199" t="s">
        <v>1270</v>
      </c>
      <c r="E63" s="199"/>
      <c r="F63" s="198">
        <v>14614</v>
      </c>
      <c r="G63" s="198">
        <v>17877</v>
      </c>
      <c r="H63" s="198">
        <v>20038</v>
      </c>
      <c r="I63" s="198">
        <v>19569</v>
      </c>
      <c r="J63" s="352">
        <v>21067</v>
      </c>
      <c r="K63" s="198">
        <v>22141</v>
      </c>
      <c r="L63" s="298"/>
    </row>
    <row r="64" spans="1:12" ht="60" x14ac:dyDescent="0.25">
      <c r="A64" s="199"/>
      <c r="B64" s="204" t="s">
        <v>924</v>
      </c>
      <c r="C64" s="199" t="s">
        <v>925</v>
      </c>
      <c r="D64" s="199" t="s">
        <v>1076</v>
      </c>
      <c r="E64" s="199"/>
      <c r="F64" s="198">
        <v>29</v>
      </c>
      <c r="G64" s="198">
        <v>35</v>
      </c>
      <c r="H64" s="198">
        <v>37</v>
      </c>
      <c r="I64" s="198">
        <v>36</v>
      </c>
      <c r="J64" s="352">
        <v>34.4</v>
      </c>
      <c r="K64" s="198">
        <v>32</v>
      </c>
      <c r="L64" s="298"/>
    </row>
    <row r="65" spans="1:12" ht="30" x14ac:dyDescent="0.25">
      <c r="A65" s="203"/>
      <c r="B65" s="204" t="s">
        <v>926</v>
      </c>
      <c r="C65" s="199" t="s">
        <v>184</v>
      </c>
      <c r="D65" s="199" t="s">
        <v>1338</v>
      </c>
      <c r="E65" s="199"/>
      <c r="F65" s="197">
        <v>41994</v>
      </c>
      <c r="G65" s="197">
        <v>42564</v>
      </c>
      <c r="H65" s="197">
        <v>45131</v>
      </c>
      <c r="I65" s="197">
        <v>45299</v>
      </c>
      <c r="J65" s="353">
        <v>51035</v>
      </c>
      <c r="K65" s="197"/>
      <c r="L65" s="298"/>
    </row>
    <row r="66" spans="1:12" ht="30" x14ac:dyDescent="0.25">
      <c r="A66" s="199" t="s">
        <v>1737</v>
      </c>
      <c r="B66" s="204" t="s">
        <v>1741</v>
      </c>
      <c r="C66" s="199"/>
      <c r="D66" s="199" t="s">
        <v>9</v>
      </c>
      <c r="E66" s="199"/>
      <c r="F66" s="197"/>
      <c r="G66" s="197"/>
      <c r="H66" s="197"/>
      <c r="I66" s="197"/>
      <c r="J66" s="353"/>
      <c r="K66" s="197"/>
      <c r="L66" s="298"/>
    </row>
    <row r="67" spans="1:12" x14ac:dyDescent="0.25">
      <c r="A67" s="203"/>
      <c r="B67" s="204" t="s">
        <v>1738</v>
      </c>
      <c r="C67" s="199"/>
      <c r="D67" s="199" t="s">
        <v>9</v>
      </c>
      <c r="E67" s="199"/>
      <c r="F67" s="197">
        <f>62/107*100</f>
        <v>57.943925233644855</v>
      </c>
      <c r="G67" s="197">
        <f>67/116*100</f>
        <v>57.758620689655174</v>
      </c>
      <c r="H67" s="197">
        <f>59/102*100</f>
        <v>57.843137254901968</v>
      </c>
      <c r="I67" s="197">
        <f>56/97.1*100</f>
        <v>57.672502574665295</v>
      </c>
      <c r="J67" s="353">
        <f>49.2/88.1*100</f>
        <v>55.845629965947793</v>
      </c>
      <c r="K67" s="197">
        <f>39.6/76.3*100</f>
        <v>51.900393184796854</v>
      </c>
      <c r="L67" s="298"/>
    </row>
    <row r="68" spans="1:12" x14ac:dyDescent="0.25">
      <c r="A68" s="203"/>
      <c r="B68" s="204" t="s">
        <v>1739</v>
      </c>
      <c r="C68" s="199"/>
      <c r="D68" s="199" t="s">
        <v>9</v>
      </c>
      <c r="E68" s="199"/>
      <c r="F68" s="197">
        <f>17/107*100</f>
        <v>15.887850467289718</v>
      </c>
      <c r="G68" s="197">
        <f>32/116*100</f>
        <v>27.586206896551722</v>
      </c>
      <c r="H68" s="197">
        <f>22/102*100</f>
        <v>21.568627450980394</v>
      </c>
      <c r="I68" s="197">
        <f>20/97.1*100</f>
        <v>20.59732234809475</v>
      </c>
      <c r="J68" s="353">
        <f>14.8/88.1*100</f>
        <v>16.799091940976165</v>
      </c>
      <c r="K68" s="197">
        <f>7.7/76.3*100</f>
        <v>10.091743119266056</v>
      </c>
      <c r="L68" s="298"/>
    </row>
    <row r="69" spans="1:12" ht="45" x14ac:dyDescent="0.25">
      <c r="A69" s="199" t="s">
        <v>1740</v>
      </c>
      <c r="B69" s="204" t="s">
        <v>1742</v>
      </c>
      <c r="C69" s="199"/>
      <c r="D69" s="199"/>
      <c r="E69" s="199"/>
      <c r="F69" s="197">
        <f>26/52*100</f>
        <v>50</v>
      </c>
      <c r="G69" s="197">
        <f>19/48*100</f>
        <v>39.583333333333329</v>
      </c>
      <c r="H69" s="197">
        <f>19/48*100</f>
        <v>39.583333333333329</v>
      </c>
      <c r="I69" s="197">
        <f>25/40*100</f>
        <v>62.5</v>
      </c>
      <c r="J69" s="353">
        <f>25/40*100</f>
        <v>62.5</v>
      </c>
      <c r="K69" s="197">
        <f>14/33*100</f>
        <v>42.424242424242422</v>
      </c>
      <c r="L69" s="298"/>
    </row>
    <row r="70" spans="1:12" x14ac:dyDescent="0.25">
      <c r="A70" s="203"/>
      <c r="B70" s="204"/>
      <c r="C70" s="199"/>
      <c r="D70" s="199"/>
      <c r="E70" s="199"/>
      <c r="F70" s="197"/>
      <c r="G70" s="197"/>
      <c r="H70" s="197"/>
      <c r="I70" s="197"/>
      <c r="J70" s="353"/>
      <c r="K70" s="197"/>
      <c r="L70" s="298"/>
    </row>
    <row r="71" spans="1:12" ht="45" x14ac:dyDescent="0.25">
      <c r="A71" s="107" t="s">
        <v>927</v>
      </c>
      <c r="B71" s="302" t="s">
        <v>1728</v>
      </c>
      <c r="C71" s="109"/>
      <c r="D71" s="95"/>
      <c r="E71" s="95"/>
      <c r="F71" s="109"/>
      <c r="G71" s="109"/>
      <c r="H71" s="109"/>
      <c r="I71" s="109"/>
      <c r="J71" s="354"/>
      <c r="K71" s="109"/>
    </row>
    <row r="72" spans="1:12" ht="30" x14ac:dyDescent="0.25">
      <c r="A72" s="95" t="s">
        <v>930</v>
      </c>
      <c r="B72" s="15" t="s">
        <v>929</v>
      </c>
      <c r="C72" s="109"/>
      <c r="D72" s="95" t="s">
        <v>1267</v>
      </c>
      <c r="E72" s="95"/>
      <c r="F72" s="153">
        <f>F73/F74</f>
        <v>1.4646551724137931</v>
      </c>
      <c r="G72" s="153">
        <f>G73/G74</f>
        <v>1.5237668161434978</v>
      </c>
      <c r="H72" s="153">
        <f>H73/H74</f>
        <v>1.3933035714285715</v>
      </c>
      <c r="I72" s="153">
        <v>1.33</v>
      </c>
      <c r="J72" s="346">
        <v>1.26</v>
      </c>
      <c r="K72" s="153">
        <f>K73/K74</f>
        <v>1.2085168869309839</v>
      </c>
      <c r="L72" s="298" t="s">
        <v>24</v>
      </c>
    </row>
    <row r="73" spans="1:12" ht="45" x14ac:dyDescent="0.25">
      <c r="A73" s="95"/>
      <c r="B73" s="15" t="s">
        <v>931</v>
      </c>
      <c r="C73" s="102" t="s">
        <v>1561</v>
      </c>
      <c r="D73" s="95" t="s">
        <v>1267</v>
      </c>
      <c r="E73" s="95"/>
      <c r="F73" s="299">
        <v>3398</v>
      </c>
      <c r="G73" s="299">
        <v>3398</v>
      </c>
      <c r="H73" s="299">
        <v>3121</v>
      </c>
      <c r="I73" s="299">
        <v>3121</v>
      </c>
      <c r="J73" s="347">
        <v>3121</v>
      </c>
      <c r="K73" s="299">
        <v>2469</v>
      </c>
      <c r="L73" s="304"/>
    </row>
    <row r="74" spans="1:12" ht="45" x14ac:dyDescent="0.25">
      <c r="A74" s="95"/>
      <c r="B74" s="15" t="s">
        <v>932</v>
      </c>
      <c r="C74" s="102" t="s">
        <v>1562</v>
      </c>
      <c r="D74" s="95" t="s">
        <v>1076</v>
      </c>
      <c r="E74" s="95"/>
      <c r="F74" s="299">
        <v>2320</v>
      </c>
      <c r="G74" s="299">
        <v>2230</v>
      </c>
      <c r="H74" s="299">
        <v>2240</v>
      </c>
      <c r="I74" s="299">
        <v>2340</v>
      </c>
      <c r="J74" s="347">
        <v>2472</v>
      </c>
      <c r="K74" s="299">
        <v>2043</v>
      </c>
    </row>
    <row r="75" spans="1:12" ht="30" x14ac:dyDescent="0.25">
      <c r="A75" s="95" t="s">
        <v>933</v>
      </c>
      <c r="B75" s="15" t="s">
        <v>1729</v>
      </c>
      <c r="C75" s="109"/>
      <c r="D75" s="95"/>
      <c r="E75" s="95"/>
      <c r="F75" s="305"/>
      <c r="G75" s="305"/>
      <c r="H75" s="305"/>
      <c r="I75" s="305"/>
      <c r="J75" s="355"/>
      <c r="K75" s="305"/>
      <c r="L75" s="298" t="s">
        <v>24</v>
      </c>
    </row>
    <row r="76" spans="1:12" x14ac:dyDescent="0.25">
      <c r="A76" s="95"/>
      <c r="B76" s="15" t="s">
        <v>203</v>
      </c>
      <c r="C76" s="109"/>
      <c r="D76" s="95" t="s">
        <v>9</v>
      </c>
      <c r="E76" s="95"/>
      <c r="F76" s="153">
        <f>F84/$F$87*100</f>
        <v>100</v>
      </c>
      <c r="G76" s="153">
        <f>G84/$G$87*100</f>
        <v>100</v>
      </c>
      <c r="H76" s="153">
        <f>H84/$H$87*100</f>
        <v>100</v>
      </c>
      <c r="I76" s="153">
        <v>100</v>
      </c>
      <c r="J76" s="346">
        <v>100</v>
      </c>
      <c r="K76" s="153">
        <v>100</v>
      </c>
      <c r="L76" s="298"/>
    </row>
    <row r="77" spans="1:12" x14ac:dyDescent="0.25">
      <c r="A77" s="95"/>
      <c r="B77" s="15" t="s">
        <v>68</v>
      </c>
      <c r="C77" s="109"/>
      <c r="D77" s="95" t="s">
        <v>9</v>
      </c>
      <c r="E77" s="95"/>
      <c r="F77" s="153">
        <f>F85/$F$87*100</f>
        <v>100</v>
      </c>
      <c r="G77" s="153">
        <f t="shared" ref="G77:G78" si="3">G85/$G$87*100</f>
        <v>100</v>
      </c>
      <c r="H77" s="153">
        <f>H85/$H$87*100</f>
        <v>100</v>
      </c>
      <c r="I77" s="153">
        <v>100</v>
      </c>
      <c r="J77" s="346">
        <v>100</v>
      </c>
      <c r="K77" s="153">
        <v>100</v>
      </c>
      <c r="L77" s="298"/>
    </row>
    <row r="78" spans="1:12" x14ac:dyDescent="0.25">
      <c r="A78" s="95"/>
      <c r="B78" s="15" t="s">
        <v>69</v>
      </c>
      <c r="C78" s="109"/>
      <c r="D78" s="95" t="s">
        <v>9</v>
      </c>
      <c r="E78" s="95"/>
      <c r="F78" s="153">
        <f>F86/$F$87*100</f>
        <v>100</v>
      </c>
      <c r="G78" s="153">
        <f t="shared" si="3"/>
        <v>100</v>
      </c>
      <c r="H78" s="153">
        <f>H86/$H$87*100</f>
        <v>100</v>
      </c>
      <c r="I78" s="153">
        <v>100</v>
      </c>
      <c r="J78" s="346">
        <v>100</v>
      </c>
      <c r="K78" s="153">
        <v>100</v>
      </c>
      <c r="L78" s="298"/>
    </row>
    <row r="79" spans="1:12" x14ac:dyDescent="0.25">
      <c r="A79" s="95"/>
      <c r="B79" s="15" t="s">
        <v>1730</v>
      </c>
      <c r="C79" s="109"/>
      <c r="D79" s="95" t="s">
        <v>9</v>
      </c>
      <c r="E79" s="95"/>
      <c r="F79" s="153">
        <f>F87/$F$87*100</f>
        <v>100</v>
      </c>
      <c r="G79" s="153">
        <f>G87/$F$87*100</f>
        <v>100</v>
      </c>
      <c r="H79" s="153">
        <f>H87/$F$87*100</f>
        <v>100</v>
      </c>
      <c r="I79" s="153">
        <f>I87/$F$87*100</f>
        <v>100</v>
      </c>
      <c r="J79" s="346">
        <f>J87/$F$87*100</f>
        <v>100</v>
      </c>
      <c r="K79" s="153">
        <v>100</v>
      </c>
      <c r="L79" s="298"/>
    </row>
    <row r="80" spans="1:12" ht="45" x14ac:dyDescent="0.25">
      <c r="A80" s="95"/>
      <c r="B80" s="15" t="s">
        <v>1731</v>
      </c>
      <c r="C80" s="102" t="s">
        <v>1578</v>
      </c>
      <c r="D80" s="95" t="s">
        <v>9</v>
      </c>
      <c r="E80" s="95"/>
      <c r="F80" s="153">
        <v>100</v>
      </c>
      <c r="G80" s="153">
        <v>100</v>
      </c>
      <c r="H80" s="153">
        <v>100</v>
      </c>
      <c r="I80" s="153">
        <v>100</v>
      </c>
      <c r="J80" s="346">
        <v>100</v>
      </c>
      <c r="K80" s="153">
        <v>100</v>
      </c>
      <c r="L80" s="298"/>
    </row>
    <row r="81" spans="1:12" ht="45" x14ac:dyDescent="0.25">
      <c r="A81" s="95"/>
      <c r="B81" s="15" t="s">
        <v>1732</v>
      </c>
      <c r="C81" s="102" t="s">
        <v>1577</v>
      </c>
      <c r="D81" s="95" t="s">
        <v>9</v>
      </c>
      <c r="E81" s="95"/>
      <c r="F81" s="153">
        <v>100</v>
      </c>
      <c r="G81" s="153">
        <v>100</v>
      </c>
      <c r="H81" s="153">
        <v>100</v>
      </c>
      <c r="I81" s="153">
        <v>100</v>
      </c>
      <c r="J81" s="346">
        <v>100</v>
      </c>
      <c r="K81" s="153">
        <v>100</v>
      </c>
      <c r="L81" s="298"/>
    </row>
    <row r="82" spans="1:12" x14ac:dyDescent="0.25">
      <c r="A82" s="95"/>
      <c r="B82" s="15" t="s">
        <v>1733</v>
      </c>
      <c r="C82" s="109"/>
      <c r="D82" s="95" t="s">
        <v>9</v>
      </c>
      <c r="E82" s="95"/>
      <c r="F82" s="153">
        <v>100</v>
      </c>
      <c r="G82" s="153">
        <v>100</v>
      </c>
      <c r="H82" s="153">
        <v>100</v>
      </c>
      <c r="I82" s="153">
        <v>100</v>
      </c>
      <c r="J82" s="346">
        <v>100</v>
      </c>
      <c r="K82" s="153">
        <v>100</v>
      </c>
      <c r="L82" s="298"/>
    </row>
    <row r="83" spans="1:12" x14ac:dyDescent="0.25">
      <c r="A83" s="95"/>
      <c r="B83" s="15" t="s">
        <v>1734</v>
      </c>
      <c r="C83" s="109"/>
      <c r="D83" s="95" t="s">
        <v>9</v>
      </c>
      <c r="E83" s="95"/>
      <c r="F83" s="153">
        <v>100</v>
      </c>
      <c r="G83" s="153">
        <v>100</v>
      </c>
      <c r="H83" s="153">
        <v>100</v>
      </c>
      <c r="I83" s="153">
        <v>100</v>
      </c>
      <c r="J83" s="346">
        <v>100</v>
      </c>
      <c r="K83" s="153">
        <v>100</v>
      </c>
      <c r="L83" s="298"/>
    </row>
    <row r="84" spans="1:12" ht="45" x14ac:dyDescent="0.25">
      <c r="A84" s="95"/>
      <c r="B84" s="15" t="s">
        <v>935</v>
      </c>
      <c r="C84" s="102" t="s">
        <v>1563</v>
      </c>
      <c r="D84" s="95" t="s">
        <v>1268</v>
      </c>
      <c r="E84" s="95"/>
      <c r="F84" s="149">
        <v>4</v>
      </c>
      <c r="G84" s="149">
        <v>4</v>
      </c>
      <c r="H84" s="149">
        <v>4</v>
      </c>
      <c r="I84" s="149">
        <v>4</v>
      </c>
      <c r="J84" s="349">
        <v>4</v>
      </c>
      <c r="K84" s="149">
        <v>3</v>
      </c>
      <c r="L84" s="298"/>
    </row>
    <row r="85" spans="1:12" ht="45" x14ac:dyDescent="0.25">
      <c r="A85" s="95"/>
      <c r="B85" s="15" t="s">
        <v>936</v>
      </c>
      <c r="C85" s="102" t="s">
        <v>1564</v>
      </c>
      <c r="D85" s="95" t="s">
        <v>1268</v>
      </c>
      <c r="E85" s="95"/>
      <c r="F85" s="149">
        <v>4</v>
      </c>
      <c r="G85" s="149">
        <v>4</v>
      </c>
      <c r="H85" s="149">
        <v>4</v>
      </c>
      <c r="I85" s="149">
        <v>4</v>
      </c>
      <c r="J85" s="349">
        <v>4</v>
      </c>
      <c r="K85" s="149">
        <v>3</v>
      </c>
      <c r="L85" s="298"/>
    </row>
    <row r="86" spans="1:12" ht="45" x14ac:dyDescent="0.25">
      <c r="A86" s="95"/>
      <c r="B86" s="15" t="s">
        <v>937</v>
      </c>
      <c r="C86" s="102" t="s">
        <v>1565</v>
      </c>
      <c r="D86" s="95" t="s">
        <v>1268</v>
      </c>
      <c r="E86" s="95"/>
      <c r="F86" s="149">
        <v>4</v>
      </c>
      <c r="G86" s="149">
        <v>4</v>
      </c>
      <c r="H86" s="149">
        <v>4</v>
      </c>
      <c r="I86" s="149">
        <v>4</v>
      </c>
      <c r="J86" s="349">
        <v>4</v>
      </c>
      <c r="K86" s="149">
        <v>3</v>
      </c>
      <c r="L86" s="298"/>
    </row>
    <row r="87" spans="1:12" ht="45" x14ac:dyDescent="0.25">
      <c r="A87" s="95"/>
      <c r="B87" s="15" t="s">
        <v>938</v>
      </c>
      <c r="C87" s="102" t="s">
        <v>1566</v>
      </c>
      <c r="D87" s="95" t="s">
        <v>1268</v>
      </c>
      <c r="E87" s="95"/>
      <c r="F87" s="149">
        <v>4</v>
      </c>
      <c r="G87" s="149">
        <v>4</v>
      </c>
      <c r="H87" s="149">
        <v>4</v>
      </c>
      <c r="I87" s="149">
        <v>4</v>
      </c>
      <c r="J87" s="349">
        <v>4</v>
      </c>
      <c r="K87" s="149">
        <v>3</v>
      </c>
      <c r="L87" s="298"/>
    </row>
    <row r="88" spans="1:12" ht="30" x14ac:dyDescent="0.25">
      <c r="A88" s="95" t="s">
        <v>939</v>
      </c>
      <c r="B88" s="15" t="s">
        <v>940</v>
      </c>
      <c r="C88" s="109"/>
      <c r="D88" s="95"/>
      <c r="E88" s="95"/>
      <c r="F88" s="305"/>
      <c r="G88" s="305"/>
      <c r="H88" s="305"/>
      <c r="I88" s="305"/>
      <c r="J88" s="355"/>
      <c r="K88" s="305"/>
      <c r="L88" s="298" t="s">
        <v>24</v>
      </c>
    </row>
    <row r="89" spans="1:12" x14ac:dyDescent="0.25">
      <c r="A89" s="152"/>
      <c r="B89" s="15" t="s">
        <v>186</v>
      </c>
      <c r="C89" s="109"/>
      <c r="D89" s="95" t="s">
        <v>1268</v>
      </c>
      <c r="E89" s="95"/>
      <c r="F89" s="153">
        <f>F91/F93*100</f>
        <v>1.3793103448275863</v>
      </c>
      <c r="G89" s="153">
        <f>G91/G93*100</f>
        <v>1.2556053811659191</v>
      </c>
      <c r="H89" s="153">
        <f>H91/H93*100</f>
        <v>1.6517857142857144</v>
      </c>
      <c r="I89" s="153">
        <v>1.49</v>
      </c>
      <c r="J89" s="346">
        <v>0.93</v>
      </c>
      <c r="K89" s="153">
        <f>K91/K93*100</f>
        <v>1.0279001468428781</v>
      </c>
      <c r="L89" s="298"/>
    </row>
    <row r="90" spans="1:12" x14ac:dyDescent="0.25">
      <c r="A90" s="152"/>
      <c r="B90" s="15" t="s">
        <v>220</v>
      </c>
      <c r="C90" s="109"/>
      <c r="D90" s="95" t="s">
        <v>1268</v>
      </c>
      <c r="E90" s="95"/>
      <c r="F90" s="153">
        <f>F92/F93*100</f>
        <v>0.43103448275862066</v>
      </c>
      <c r="G90" s="153">
        <f>G92/G93*100</f>
        <v>0.44843049327354262</v>
      </c>
      <c r="H90" s="153">
        <f>H92/H93*100</f>
        <v>4.4642857142857144E-2</v>
      </c>
      <c r="I90" s="153">
        <v>0.43</v>
      </c>
      <c r="J90" s="346">
        <v>0.36</v>
      </c>
      <c r="K90" s="153">
        <f>K92/K93*100</f>
        <v>0.48947626040137049</v>
      </c>
      <c r="L90" s="298"/>
    </row>
    <row r="91" spans="1:12" ht="60" x14ac:dyDescent="0.25">
      <c r="A91" s="152"/>
      <c r="B91" s="15" t="s">
        <v>941</v>
      </c>
      <c r="C91" s="102" t="s">
        <v>1567</v>
      </c>
      <c r="D91" s="95" t="s">
        <v>1268</v>
      </c>
      <c r="E91" s="95"/>
      <c r="F91" s="299">
        <v>32</v>
      </c>
      <c r="G91" s="299">
        <v>28</v>
      </c>
      <c r="H91" s="299">
        <v>37</v>
      </c>
      <c r="I91" s="299">
        <v>35</v>
      </c>
      <c r="J91" s="347">
        <v>23</v>
      </c>
      <c r="K91" s="299">
        <v>21</v>
      </c>
      <c r="L91" s="304"/>
    </row>
    <row r="92" spans="1:12" ht="60" x14ac:dyDescent="0.25">
      <c r="A92" s="152"/>
      <c r="B92" s="15" t="s">
        <v>942</v>
      </c>
      <c r="C92" s="102" t="s">
        <v>1568</v>
      </c>
      <c r="D92" s="95" t="s">
        <v>1268</v>
      </c>
      <c r="E92" s="95"/>
      <c r="F92" s="299">
        <v>10</v>
      </c>
      <c r="G92" s="299">
        <v>10</v>
      </c>
      <c r="H92" s="299">
        <v>1</v>
      </c>
      <c r="I92" s="299">
        <v>10</v>
      </c>
      <c r="J92" s="347">
        <v>9</v>
      </c>
      <c r="K92" s="299">
        <v>10</v>
      </c>
    </row>
    <row r="93" spans="1:12" ht="45" x14ac:dyDescent="0.25">
      <c r="A93" s="152"/>
      <c r="B93" s="15" t="s">
        <v>932</v>
      </c>
      <c r="C93" s="102" t="s">
        <v>1562</v>
      </c>
      <c r="D93" s="95" t="s">
        <v>1076</v>
      </c>
      <c r="E93" s="95"/>
      <c r="F93" s="299">
        <v>2320</v>
      </c>
      <c r="G93" s="299">
        <v>2230</v>
      </c>
      <c r="H93" s="299">
        <v>2240</v>
      </c>
      <c r="I93" s="299">
        <v>2340</v>
      </c>
      <c r="J93" s="347">
        <v>2472</v>
      </c>
      <c r="K93" s="299">
        <v>2043</v>
      </c>
      <c r="L93" s="304"/>
    </row>
    <row r="94" spans="1:12" ht="60" x14ac:dyDescent="0.25">
      <c r="A94" s="107" t="s">
        <v>944</v>
      </c>
      <c r="B94" s="302" t="s">
        <v>943</v>
      </c>
      <c r="C94" s="109"/>
      <c r="D94" s="109"/>
      <c r="E94" s="109"/>
      <c r="F94" s="109"/>
      <c r="G94" s="109"/>
      <c r="H94" s="109"/>
      <c r="I94" s="109"/>
      <c r="J94" s="354"/>
      <c r="K94" s="109"/>
    </row>
    <row r="95" spans="1:12" ht="45" x14ac:dyDescent="0.25">
      <c r="A95" s="95" t="s">
        <v>946</v>
      </c>
      <c r="B95" s="15" t="s">
        <v>945</v>
      </c>
      <c r="C95" s="109"/>
      <c r="D95" s="95" t="s">
        <v>9</v>
      </c>
      <c r="E95" s="95"/>
      <c r="F95" s="153">
        <f>(F98+F101+F102)/(F103+F106+F107)*100</f>
        <v>100</v>
      </c>
      <c r="G95" s="153">
        <f>(G98+G101+G102)/(G103+G106+G107)*100</f>
        <v>100</v>
      </c>
      <c r="H95" s="153">
        <f>(H98+H101+H102)/(H103+H106+H107)*100</f>
        <v>100</v>
      </c>
      <c r="I95" s="153">
        <v>100</v>
      </c>
      <c r="J95" s="346">
        <v>100</v>
      </c>
      <c r="K95" s="153">
        <f>(K98+K101+K102)/(K103+K106+K107)*100</f>
        <v>100</v>
      </c>
      <c r="L95" s="298" t="s">
        <v>956</v>
      </c>
    </row>
    <row r="96" spans="1:12" x14ac:dyDescent="0.25">
      <c r="A96" s="95"/>
      <c r="B96" s="15" t="s">
        <v>1334</v>
      </c>
      <c r="C96" s="109"/>
      <c r="D96" s="95"/>
      <c r="E96" s="95"/>
      <c r="F96" s="153">
        <f>(F99+F101+F102)/(F104+F106+F107)*100</f>
        <v>100</v>
      </c>
      <c r="G96" s="153">
        <f>(G99+G101+G102)/(G104+G106+G107)*100</f>
        <v>100</v>
      </c>
      <c r="H96" s="153">
        <f>(H99+H101+H102)/(H104+H106+H107)*100</f>
        <v>100</v>
      </c>
      <c r="I96" s="153">
        <v>100</v>
      </c>
      <c r="J96" s="346">
        <v>100</v>
      </c>
      <c r="K96" s="153">
        <f>(K99+K101+K102)/(K104+K106+K107)*100</f>
        <v>100</v>
      </c>
      <c r="L96" s="298"/>
    </row>
    <row r="97" spans="1:12" x14ac:dyDescent="0.25">
      <c r="A97" s="95"/>
      <c r="B97" s="15" t="s">
        <v>1336</v>
      </c>
      <c r="C97" s="109"/>
      <c r="D97" s="95"/>
      <c r="E97" s="95"/>
      <c r="F97" s="153">
        <f>(F100+F101+F102)/(F105+F106+F107)*100</f>
        <v>100</v>
      </c>
      <c r="G97" s="153">
        <f>(G100+G101+G102)/(G105+G106+G107)*100</f>
        <v>100</v>
      </c>
      <c r="H97" s="153">
        <f>(H100+H101+H102)/(H105+H106+H107)*100</f>
        <v>100</v>
      </c>
      <c r="I97" s="153">
        <v>100</v>
      </c>
      <c r="J97" s="346">
        <v>100</v>
      </c>
      <c r="K97" s="153">
        <v>100</v>
      </c>
      <c r="L97" s="298"/>
    </row>
    <row r="98" spans="1:12" ht="49.5" customHeight="1" x14ac:dyDescent="0.25">
      <c r="A98" s="95"/>
      <c r="B98" s="15" t="s">
        <v>1735</v>
      </c>
      <c r="C98" s="102"/>
      <c r="D98" s="95" t="s">
        <v>1268</v>
      </c>
      <c r="E98" s="95"/>
      <c r="F98" s="149">
        <f>F99+F100</f>
        <v>4</v>
      </c>
      <c r="G98" s="149">
        <f>G99+G100</f>
        <v>4</v>
      </c>
      <c r="H98" s="149">
        <f t="shared" ref="H98" si="4">H99+H100</f>
        <v>4</v>
      </c>
      <c r="I98" s="149">
        <v>4</v>
      </c>
      <c r="J98" s="349">
        <v>4</v>
      </c>
      <c r="K98" s="149">
        <v>3</v>
      </c>
      <c r="L98" s="304"/>
    </row>
    <row r="99" spans="1:12" ht="60" x14ac:dyDescent="0.25">
      <c r="A99" s="95"/>
      <c r="B99" s="15" t="s">
        <v>1334</v>
      </c>
      <c r="C99" s="102" t="s">
        <v>1570</v>
      </c>
      <c r="D99" s="95" t="s">
        <v>1268</v>
      </c>
      <c r="E99" s="95"/>
      <c r="F99" s="149">
        <v>2</v>
      </c>
      <c r="G99" s="149">
        <v>2</v>
      </c>
      <c r="H99" s="149">
        <v>2</v>
      </c>
      <c r="I99" s="149">
        <v>2</v>
      </c>
      <c r="J99" s="349">
        <v>2</v>
      </c>
      <c r="K99" s="149">
        <v>1</v>
      </c>
      <c r="L99" s="304"/>
    </row>
    <row r="100" spans="1:12" ht="60" x14ac:dyDescent="0.25">
      <c r="A100" s="95"/>
      <c r="B100" s="15" t="s">
        <v>1336</v>
      </c>
      <c r="C100" s="102" t="s">
        <v>1571</v>
      </c>
      <c r="D100" s="95" t="s">
        <v>1268</v>
      </c>
      <c r="E100" s="95"/>
      <c r="F100" s="149">
        <v>2</v>
      </c>
      <c r="G100" s="149">
        <v>2</v>
      </c>
      <c r="H100" s="149">
        <v>2</v>
      </c>
      <c r="I100" s="149">
        <v>2</v>
      </c>
      <c r="J100" s="349">
        <v>2</v>
      </c>
      <c r="K100" s="149">
        <v>2</v>
      </c>
      <c r="L100" s="304"/>
    </row>
    <row r="101" spans="1:12" ht="49.5" customHeight="1" x14ac:dyDescent="0.25">
      <c r="A101" s="95"/>
      <c r="B101" s="15" t="s">
        <v>947</v>
      </c>
      <c r="C101" s="95" t="s">
        <v>950</v>
      </c>
      <c r="D101" s="95" t="s">
        <v>1268</v>
      </c>
      <c r="E101" s="95"/>
      <c r="F101" s="149"/>
      <c r="G101" s="149"/>
      <c r="H101" s="149"/>
      <c r="I101" s="149">
        <v>5</v>
      </c>
      <c r="J101" s="349">
        <v>5</v>
      </c>
      <c r="K101" s="149">
        <v>5</v>
      </c>
    </row>
    <row r="102" spans="1:12" ht="45" x14ac:dyDescent="0.25">
      <c r="A102" s="95"/>
      <c r="B102" s="15" t="s">
        <v>948</v>
      </c>
      <c r="C102" s="95" t="s">
        <v>949</v>
      </c>
      <c r="D102" s="95" t="s">
        <v>1268</v>
      </c>
      <c r="E102" s="95"/>
      <c r="F102" s="149"/>
      <c r="G102" s="149"/>
      <c r="H102" s="149"/>
      <c r="I102" s="149">
        <v>1</v>
      </c>
      <c r="J102" s="349">
        <v>1</v>
      </c>
      <c r="K102" s="149">
        <v>1</v>
      </c>
      <c r="L102" s="304"/>
    </row>
    <row r="103" spans="1:12" ht="60" x14ac:dyDescent="0.25">
      <c r="A103" s="95"/>
      <c r="B103" s="15" t="s">
        <v>951</v>
      </c>
      <c r="C103" s="102" t="s">
        <v>1569</v>
      </c>
      <c r="D103" s="95" t="s">
        <v>1268</v>
      </c>
      <c r="E103" s="95"/>
      <c r="F103" s="149">
        <f>F104+F105</f>
        <v>4</v>
      </c>
      <c r="G103" s="149">
        <f>G104+G105</f>
        <v>4</v>
      </c>
      <c r="H103" s="149">
        <f t="shared" ref="H103" si="5">H104+H105</f>
        <v>4</v>
      </c>
      <c r="I103" s="149">
        <v>4</v>
      </c>
      <c r="J103" s="349">
        <v>4</v>
      </c>
      <c r="K103" s="149">
        <v>3</v>
      </c>
    </row>
    <row r="104" spans="1:12" x14ac:dyDescent="0.25">
      <c r="A104" s="95"/>
      <c r="B104" s="15" t="s">
        <v>1334</v>
      </c>
      <c r="C104" s="95"/>
      <c r="D104" s="95" t="s">
        <v>1268</v>
      </c>
      <c r="E104" s="95"/>
      <c r="F104" s="149">
        <v>2</v>
      </c>
      <c r="G104" s="149">
        <v>2</v>
      </c>
      <c r="H104" s="149">
        <v>2</v>
      </c>
      <c r="I104" s="149">
        <v>2</v>
      </c>
      <c r="J104" s="349">
        <v>2</v>
      </c>
      <c r="K104" s="149">
        <v>1</v>
      </c>
    </row>
    <row r="105" spans="1:12" x14ac:dyDescent="0.25">
      <c r="A105" s="95"/>
      <c r="B105" s="15" t="s">
        <v>1336</v>
      </c>
      <c r="C105" s="95"/>
      <c r="D105" s="95" t="s">
        <v>1268</v>
      </c>
      <c r="E105" s="95"/>
      <c r="F105" s="149">
        <v>2</v>
      </c>
      <c r="G105" s="149">
        <v>2</v>
      </c>
      <c r="H105" s="149">
        <v>2</v>
      </c>
      <c r="I105" s="149">
        <v>2</v>
      </c>
      <c r="J105" s="349">
        <v>2</v>
      </c>
      <c r="K105" s="149">
        <v>3</v>
      </c>
    </row>
    <row r="106" spans="1:12" ht="30" x14ac:dyDescent="0.25">
      <c r="A106" s="95"/>
      <c r="B106" s="15" t="s">
        <v>952</v>
      </c>
      <c r="C106" s="95" t="s">
        <v>953</v>
      </c>
      <c r="D106" s="95" t="s">
        <v>1268</v>
      </c>
      <c r="E106" s="95"/>
      <c r="F106" s="149"/>
      <c r="G106" s="149"/>
      <c r="H106" s="149"/>
      <c r="I106" s="149">
        <v>6</v>
      </c>
      <c r="J106" s="349">
        <v>5</v>
      </c>
      <c r="K106" s="149">
        <v>5</v>
      </c>
    </row>
    <row r="107" spans="1:12" ht="60" x14ac:dyDescent="0.25">
      <c r="A107" s="95"/>
      <c r="B107" s="15" t="s">
        <v>954</v>
      </c>
      <c r="C107" s="95" t="s">
        <v>955</v>
      </c>
      <c r="D107" s="95" t="s">
        <v>1268</v>
      </c>
      <c r="E107" s="95"/>
      <c r="F107" s="149"/>
      <c r="G107" s="149"/>
      <c r="H107" s="149"/>
      <c r="I107" s="149">
        <v>1</v>
      </c>
      <c r="J107" s="349">
        <v>1</v>
      </c>
      <c r="K107" s="149">
        <v>1</v>
      </c>
    </row>
    <row r="108" spans="1:12" s="200" customFormat="1" ht="45" x14ac:dyDescent="0.25">
      <c r="A108" s="201" t="s">
        <v>957</v>
      </c>
      <c r="B108" s="202" t="s">
        <v>958</v>
      </c>
      <c r="C108" s="203"/>
      <c r="D108" s="203"/>
      <c r="E108" s="203"/>
      <c r="F108" s="203"/>
      <c r="G108" s="203"/>
      <c r="H108" s="203"/>
      <c r="I108" s="203"/>
      <c r="J108" s="350"/>
      <c r="K108" s="203"/>
    </row>
    <row r="109" spans="1:12" s="200" customFormat="1" ht="45" x14ac:dyDescent="0.25">
      <c r="A109" s="199" t="s">
        <v>960</v>
      </c>
      <c r="B109" s="204" t="s">
        <v>959</v>
      </c>
      <c r="C109" s="199"/>
      <c r="D109" s="199" t="s">
        <v>1270</v>
      </c>
      <c r="E109" s="199"/>
      <c r="F109" s="205">
        <f>F110/F111</f>
        <v>21.853017241379309</v>
      </c>
      <c r="G109" s="205">
        <f>G110/G111</f>
        <v>26.671748878923768</v>
      </c>
      <c r="H109" s="205">
        <f>H110/H111</f>
        <v>31.881250000000001</v>
      </c>
      <c r="I109" s="205">
        <f t="shared" ref="I109:K109" si="6">I110/I111</f>
        <v>29.018803418803419</v>
      </c>
      <c r="J109" s="351">
        <f t="shared" si="6"/>
        <v>24.600728155339805</v>
      </c>
      <c r="K109" s="205">
        <f t="shared" si="6"/>
        <v>31.20753793441018</v>
      </c>
      <c r="L109" s="312" t="s">
        <v>46</v>
      </c>
    </row>
    <row r="110" spans="1:12" s="200" customFormat="1" ht="45" x14ac:dyDescent="0.25">
      <c r="A110" s="203"/>
      <c r="B110" s="204" t="s">
        <v>961</v>
      </c>
      <c r="C110" s="199" t="s">
        <v>1572</v>
      </c>
      <c r="D110" s="199" t="s">
        <v>1270</v>
      </c>
      <c r="E110" s="199"/>
      <c r="F110" s="198">
        <v>50699</v>
      </c>
      <c r="G110" s="198">
        <v>59478</v>
      </c>
      <c r="H110" s="198">
        <v>71414</v>
      </c>
      <c r="I110" s="198">
        <v>67904</v>
      </c>
      <c r="J110" s="352">
        <v>60813</v>
      </c>
      <c r="K110" s="198">
        <v>63757</v>
      </c>
    </row>
    <row r="111" spans="1:12" s="200" customFormat="1" ht="45" x14ac:dyDescent="0.25">
      <c r="A111" s="203"/>
      <c r="B111" s="204" t="s">
        <v>932</v>
      </c>
      <c r="C111" s="199" t="s">
        <v>1576</v>
      </c>
      <c r="D111" s="199" t="s">
        <v>1076</v>
      </c>
      <c r="E111" s="199"/>
      <c r="F111" s="198">
        <v>2320</v>
      </c>
      <c r="G111" s="198">
        <v>2230</v>
      </c>
      <c r="H111" s="198">
        <v>2240</v>
      </c>
      <c r="I111" s="198">
        <v>2340</v>
      </c>
      <c r="J111" s="352">
        <v>2472</v>
      </c>
      <c r="K111" s="198">
        <v>2043</v>
      </c>
    </row>
    <row r="112" spans="1:12" s="200" customFormat="1" ht="45" x14ac:dyDescent="0.25">
      <c r="A112" s="199" t="s">
        <v>1331</v>
      </c>
      <c r="B112" s="204" t="s">
        <v>962</v>
      </c>
      <c r="C112" s="199"/>
      <c r="D112" s="199" t="s">
        <v>9</v>
      </c>
      <c r="E112" s="199"/>
      <c r="F112" s="205">
        <f>F113/F114*100</f>
        <v>0.1913252726878242</v>
      </c>
      <c r="G112" s="205">
        <f>G113/G114*100</f>
        <v>0.19334880123743234</v>
      </c>
      <c r="H112" s="205">
        <f>H113/H114*100</f>
        <v>0.13442742319433165</v>
      </c>
      <c r="I112" s="205">
        <f t="shared" ref="I112:K112" si="7">I113/I114*100</f>
        <v>0</v>
      </c>
      <c r="J112" s="351">
        <f t="shared" si="7"/>
        <v>6.2749741009323667</v>
      </c>
      <c r="K112" s="205">
        <f t="shared" si="7"/>
        <v>17.939990902959675</v>
      </c>
      <c r="L112" s="312" t="s">
        <v>46</v>
      </c>
    </row>
    <row r="113" spans="1:12" s="200" customFormat="1" ht="60" x14ac:dyDescent="0.25">
      <c r="A113" s="203"/>
      <c r="B113" s="204" t="s">
        <v>963</v>
      </c>
      <c r="C113" s="199" t="s">
        <v>1572</v>
      </c>
      <c r="D113" s="199" t="s">
        <v>1270</v>
      </c>
      <c r="E113" s="199"/>
      <c r="F113" s="198">
        <v>97</v>
      </c>
      <c r="G113" s="198">
        <v>115</v>
      </c>
      <c r="H113" s="198">
        <v>96</v>
      </c>
      <c r="I113" s="198">
        <v>0</v>
      </c>
      <c r="J113" s="352">
        <v>3816</v>
      </c>
      <c r="K113" s="198">
        <v>11438</v>
      </c>
      <c r="L113" s="312"/>
    </row>
    <row r="114" spans="1:12" s="200" customFormat="1" ht="45" x14ac:dyDescent="0.25">
      <c r="A114" s="203"/>
      <c r="B114" s="204" t="s">
        <v>961</v>
      </c>
      <c r="C114" s="199" t="s">
        <v>1573</v>
      </c>
      <c r="D114" s="199" t="s">
        <v>1270</v>
      </c>
      <c r="E114" s="199"/>
      <c r="F114" s="198">
        <v>50699</v>
      </c>
      <c r="G114" s="198">
        <v>59478</v>
      </c>
      <c r="H114" s="198">
        <v>71414</v>
      </c>
      <c r="I114" s="198">
        <f>I110</f>
        <v>67904</v>
      </c>
      <c r="J114" s="352">
        <f>J110</f>
        <v>60813</v>
      </c>
      <c r="K114" s="198">
        <v>63757</v>
      </c>
      <c r="L114" s="312"/>
    </row>
    <row r="115" spans="1:12" ht="45" x14ac:dyDescent="0.25">
      <c r="A115" s="107" t="s">
        <v>965</v>
      </c>
      <c r="B115" s="302" t="s">
        <v>964</v>
      </c>
      <c r="C115" s="103"/>
      <c r="D115" s="109"/>
      <c r="E115" s="109"/>
      <c r="F115" s="109"/>
      <c r="G115" s="109"/>
      <c r="H115" s="109"/>
      <c r="I115" s="109"/>
      <c r="J115" s="354"/>
      <c r="K115" s="109"/>
    </row>
    <row r="116" spans="1:12" ht="30" x14ac:dyDescent="0.25">
      <c r="A116" s="95" t="s">
        <v>966</v>
      </c>
      <c r="B116" s="15" t="s">
        <v>967</v>
      </c>
      <c r="C116" s="103"/>
      <c r="D116" s="95" t="s">
        <v>9</v>
      </c>
      <c r="E116" s="95"/>
      <c r="F116" s="153">
        <f>F117/F118*100</f>
        <v>0</v>
      </c>
      <c r="G116" s="153">
        <f>G117/G118*100</f>
        <v>0</v>
      </c>
      <c r="H116" s="153">
        <f>H117/H118*100</f>
        <v>0</v>
      </c>
      <c r="I116" s="153">
        <v>0</v>
      </c>
      <c r="J116" s="346">
        <v>0</v>
      </c>
      <c r="K116" s="153">
        <v>0</v>
      </c>
      <c r="L116" s="298" t="s">
        <v>46</v>
      </c>
    </row>
    <row r="117" spans="1:12" ht="45" x14ac:dyDescent="0.25">
      <c r="A117" s="95"/>
      <c r="B117" s="15" t="s">
        <v>968</v>
      </c>
      <c r="C117" s="102" t="s">
        <v>1574</v>
      </c>
      <c r="D117" s="95" t="s">
        <v>1268</v>
      </c>
      <c r="E117" s="95"/>
      <c r="F117" s="149">
        <v>0</v>
      </c>
      <c r="G117" s="149">
        <v>0</v>
      </c>
      <c r="H117" s="149">
        <v>0</v>
      </c>
      <c r="I117" s="149">
        <v>0</v>
      </c>
      <c r="J117" s="349">
        <v>0</v>
      </c>
      <c r="K117" s="149">
        <v>0</v>
      </c>
      <c r="L117" s="298"/>
    </row>
    <row r="118" spans="1:12" ht="45" x14ac:dyDescent="0.25">
      <c r="A118" s="95"/>
      <c r="B118" s="15" t="s">
        <v>969</v>
      </c>
      <c r="C118" s="102" t="s">
        <v>1575</v>
      </c>
      <c r="D118" s="95" t="s">
        <v>1268</v>
      </c>
      <c r="E118" s="95"/>
      <c r="F118" s="149">
        <v>4</v>
      </c>
      <c r="G118" s="149">
        <v>4</v>
      </c>
      <c r="H118" s="149">
        <v>4</v>
      </c>
      <c r="I118" s="149">
        <v>4</v>
      </c>
      <c r="J118" s="349">
        <v>4</v>
      </c>
      <c r="K118" s="149">
        <v>3</v>
      </c>
      <c r="L118" s="298"/>
    </row>
    <row r="119" spans="1:12" ht="45" x14ac:dyDescent="0.25">
      <c r="A119" s="107" t="s">
        <v>971</v>
      </c>
      <c r="B119" s="302" t="s">
        <v>970</v>
      </c>
      <c r="C119" s="109"/>
      <c r="D119" s="109"/>
      <c r="E119" s="109"/>
      <c r="F119" s="109"/>
      <c r="G119" s="109"/>
      <c r="H119" s="109"/>
      <c r="I119" s="109"/>
      <c r="J119" s="354"/>
      <c r="K119" s="109"/>
    </row>
    <row r="120" spans="1:12" ht="45" x14ac:dyDescent="0.25">
      <c r="A120" s="95" t="s">
        <v>973</v>
      </c>
      <c r="B120" s="15" t="s">
        <v>977</v>
      </c>
      <c r="C120" s="95"/>
      <c r="D120" s="95" t="s">
        <v>9</v>
      </c>
      <c r="E120" s="95"/>
      <c r="F120" s="153">
        <f>F121/F122*100</f>
        <v>0</v>
      </c>
      <c r="G120" s="153">
        <f>G121/G122*100</f>
        <v>0</v>
      </c>
      <c r="H120" s="153">
        <f>H121/H122*100</f>
        <v>0</v>
      </c>
      <c r="I120" s="153">
        <v>0</v>
      </c>
      <c r="J120" s="346">
        <v>0</v>
      </c>
      <c r="K120" s="153">
        <v>0</v>
      </c>
      <c r="L120" s="298" t="s">
        <v>956</v>
      </c>
    </row>
    <row r="121" spans="1:12" ht="45" x14ac:dyDescent="0.25">
      <c r="A121" s="109"/>
      <c r="B121" s="15" t="s">
        <v>978</v>
      </c>
      <c r="C121" s="102" t="s">
        <v>1579</v>
      </c>
      <c r="D121" s="95" t="s">
        <v>1268</v>
      </c>
      <c r="E121" s="95"/>
      <c r="F121" s="149">
        <v>0</v>
      </c>
      <c r="G121" s="149">
        <v>0</v>
      </c>
      <c r="H121" s="149">
        <v>0</v>
      </c>
      <c r="I121" s="149">
        <v>0</v>
      </c>
      <c r="J121" s="349">
        <v>0</v>
      </c>
      <c r="K121" s="149">
        <v>0</v>
      </c>
    </row>
    <row r="122" spans="1:12" ht="45" x14ac:dyDescent="0.25">
      <c r="A122" s="109"/>
      <c r="B122" s="15" t="s">
        <v>938</v>
      </c>
      <c r="C122" s="102" t="s">
        <v>1566</v>
      </c>
      <c r="D122" s="95" t="s">
        <v>1268</v>
      </c>
      <c r="E122" s="95"/>
      <c r="F122" s="149">
        <v>4</v>
      </c>
      <c r="G122" s="149">
        <v>4</v>
      </c>
      <c r="H122" s="149">
        <v>4</v>
      </c>
      <c r="I122" s="149">
        <v>4</v>
      </c>
      <c r="J122" s="349">
        <v>4</v>
      </c>
      <c r="K122" s="149">
        <v>3</v>
      </c>
    </row>
    <row r="123" spans="1:12" ht="45" x14ac:dyDescent="0.25">
      <c r="A123" s="95" t="s">
        <v>974</v>
      </c>
      <c r="B123" s="15" t="s">
        <v>980</v>
      </c>
      <c r="C123" s="102"/>
      <c r="D123" s="95" t="s">
        <v>9</v>
      </c>
      <c r="E123" s="95"/>
      <c r="F123" s="153">
        <f>F124/F125*100</f>
        <v>25</v>
      </c>
      <c r="G123" s="153">
        <f>G124/G125*100</f>
        <v>25</v>
      </c>
      <c r="H123" s="153">
        <f>H124/H125*100</f>
        <v>25</v>
      </c>
      <c r="I123" s="153">
        <v>25</v>
      </c>
      <c r="J123" s="346">
        <v>25</v>
      </c>
      <c r="K123" s="153">
        <f>K124/K125*100</f>
        <v>33.333333333333329</v>
      </c>
      <c r="L123" s="298" t="s">
        <v>956</v>
      </c>
    </row>
    <row r="124" spans="1:12" ht="45" x14ac:dyDescent="0.25">
      <c r="A124" s="109"/>
      <c r="B124" s="15" t="s">
        <v>981</v>
      </c>
      <c r="C124" s="102" t="s">
        <v>1580</v>
      </c>
      <c r="D124" s="95" t="s">
        <v>1268</v>
      </c>
      <c r="E124" s="95"/>
      <c r="F124" s="149">
        <v>1</v>
      </c>
      <c r="G124" s="149">
        <v>1</v>
      </c>
      <c r="H124" s="149">
        <v>1</v>
      </c>
      <c r="I124" s="149">
        <v>1</v>
      </c>
      <c r="J124" s="349">
        <v>1</v>
      </c>
      <c r="K124" s="149">
        <v>1</v>
      </c>
    </row>
    <row r="125" spans="1:12" ht="45" x14ac:dyDescent="0.25">
      <c r="A125" s="109"/>
      <c r="B125" s="15" t="s">
        <v>938</v>
      </c>
      <c r="C125" s="102" t="s">
        <v>1566</v>
      </c>
      <c r="D125" s="95" t="s">
        <v>1268</v>
      </c>
      <c r="E125" s="95"/>
      <c r="F125" s="149">
        <v>4</v>
      </c>
      <c r="G125" s="149">
        <v>4</v>
      </c>
      <c r="H125" s="149">
        <v>4</v>
      </c>
      <c r="I125" s="149">
        <v>4</v>
      </c>
      <c r="J125" s="349">
        <v>4</v>
      </c>
      <c r="K125" s="149">
        <v>3</v>
      </c>
    </row>
    <row r="126" spans="1:12" ht="30" x14ac:dyDescent="0.25">
      <c r="A126" s="306" t="s">
        <v>983</v>
      </c>
      <c r="B126" s="307" t="s">
        <v>982</v>
      </c>
      <c r="C126" s="308"/>
      <c r="D126" s="308"/>
      <c r="E126" s="308"/>
      <c r="F126" s="308"/>
      <c r="G126" s="308"/>
      <c r="H126" s="308"/>
      <c r="I126" s="308"/>
      <c r="J126" s="356"/>
      <c r="K126" s="308"/>
    </row>
    <row r="127" spans="1:12" ht="90" x14ac:dyDescent="0.25">
      <c r="A127" s="207" t="s">
        <v>984</v>
      </c>
      <c r="B127" s="300" t="s">
        <v>1736</v>
      </c>
      <c r="C127" s="308"/>
      <c r="D127" s="207"/>
      <c r="E127" s="207"/>
      <c r="F127" s="309"/>
      <c r="G127" s="309"/>
      <c r="H127" s="309"/>
      <c r="I127" s="309"/>
      <c r="J127" s="357"/>
      <c r="K127" s="309"/>
      <c r="L127" s="298" t="s">
        <v>106</v>
      </c>
    </row>
    <row r="128" spans="1:12" ht="120" x14ac:dyDescent="0.25">
      <c r="A128" s="207"/>
      <c r="B128" s="310" t="s">
        <v>1298</v>
      </c>
      <c r="C128" s="207" t="s">
        <v>1324</v>
      </c>
      <c r="D128" s="207" t="s">
        <v>9</v>
      </c>
      <c r="E128" s="207"/>
      <c r="F128" s="309" t="e">
        <f>F132/$F$136*100</f>
        <v>#DIV/0!</v>
      </c>
      <c r="G128" s="309" t="e">
        <f>G132/$F$136*100</f>
        <v>#DIV/0!</v>
      </c>
      <c r="H128" s="309" t="e">
        <f>H132/$F$136*100</f>
        <v>#DIV/0!</v>
      </c>
      <c r="I128" s="309"/>
      <c r="J128" s="357"/>
      <c r="K128" s="309"/>
      <c r="L128" s="298"/>
    </row>
    <row r="129" spans="1:12" ht="120" x14ac:dyDescent="0.25">
      <c r="A129" s="207"/>
      <c r="B129" s="310" t="s">
        <v>1299</v>
      </c>
      <c r="C129" s="207" t="s">
        <v>1324</v>
      </c>
      <c r="D129" s="207" t="s">
        <v>9</v>
      </c>
      <c r="E129" s="207"/>
      <c r="F129" s="309" t="e">
        <f t="shared" ref="F129:H131" si="8">F133/$F$136*100</f>
        <v>#DIV/0!</v>
      </c>
      <c r="G129" s="309" t="e">
        <f t="shared" si="8"/>
        <v>#DIV/0!</v>
      </c>
      <c r="H129" s="309" t="e">
        <f t="shared" si="8"/>
        <v>#DIV/0!</v>
      </c>
      <c r="I129" s="309"/>
      <c r="J129" s="357"/>
      <c r="K129" s="309"/>
      <c r="L129" s="298"/>
    </row>
    <row r="130" spans="1:12" ht="120" x14ac:dyDescent="0.25">
      <c r="A130" s="207"/>
      <c r="B130" s="310" t="s">
        <v>1300</v>
      </c>
      <c r="C130" s="207" t="s">
        <v>1324</v>
      </c>
      <c r="D130" s="207" t="s">
        <v>9</v>
      </c>
      <c r="E130" s="207"/>
      <c r="F130" s="309" t="e">
        <f t="shared" si="8"/>
        <v>#DIV/0!</v>
      </c>
      <c r="G130" s="309" t="e">
        <f t="shared" si="8"/>
        <v>#DIV/0!</v>
      </c>
      <c r="H130" s="309" t="e">
        <f t="shared" si="8"/>
        <v>#DIV/0!</v>
      </c>
      <c r="I130" s="309"/>
      <c r="J130" s="357"/>
      <c r="K130" s="309"/>
      <c r="L130" s="298"/>
    </row>
    <row r="131" spans="1:12" ht="120" x14ac:dyDescent="0.25">
      <c r="A131" s="207"/>
      <c r="B131" s="310" t="s">
        <v>1301</v>
      </c>
      <c r="C131" s="207" t="s">
        <v>1324</v>
      </c>
      <c r="D131" s="207" t="s">
        <v>9</v>
      </c>
      <c r="E131" s="207"/>
      <c r="F131" s="309" t="e">
        <f t="shared" si="8"/>
        <v>#DIV/0!</v>
      </c>
      <c r="G131" s="309" t="e">
        <f t="shared" si="8"/>
        <v>#DIV/0!</v>
      </c>
      <c r="H131" s="309" t="e">
        <f t="shared" si="8"/>
        <v>#DIV/0!</v>
      </c>
      <c r="I131" s="309"/>
      <c r="J131" s="357"/>
      <c r="K131" s="309"/>
      <c r="L131" s="298"/>
    </row>
    <row r="132" spans="1:12" ht="120" x14ac:dyDescent="0.25">
      <c r="A132" s="207"/>
      <c r="B132" s="310" t="s">
        <v>1298</v>
      </c>
      <c r="C132" s="207" t="s">
        <v>1324</v>
      </c>
      <c r="D132" s="207" t="s">
        <v>1076</v>
      </c>
      <c r="E132" s="207"/>
      <c r="F132" s="311"/>
      <c r="G132" s="311"/>
      <c r="H132" s="311"/>
      <c r="I132" s="311"/>
      <c r="J132" s="358"/>
      <c r="K132" s="311"/>
      <c r="L132" s="298"/>
    </row>
    <row r="133" spans="1:12" ht="120" x14ac:dyDescent="0.25">
      <c r="A133" s="207"/>
      <c r="B133" s="310" t="s">
        <v>1299</v>
      </c>
      <c r="C133" s="207" t="s">
        <v>1324</v>
      </c>
      <c r="D133" s="207" t="s">
        <v>1076</v>
      </c>
      <c r="E133" s="207"/>
      <c r="F133" s="311"/>
      <c r="G133" s="311"/>
      <c r="H133" s="311"/>
      <c r="I133" s="311"/>
      <c r="J133" s="358"/>
      <c r="K133" s="311"/>
      <c r="L133" s="298"/>
    </row>
    <row r="134" spans="1:12" ht="120" x14ac:dyDescent="0.25">
      <c r="A134" s="207"/>
      <c r="B134" s="310" t="s">
        <v>1300</v>
      </c>
      <c r="C134" s="207" t="s">
        <v>1324</v>
      </c>
      <c r="D134" s="207" t="s">
        <v>1076</v>
      </c>
      <c r="E134" s="207"/>
      <c r="F134" s="311"/>
      <c r="G134" s="311"/>
      <c r="H134" s="311"/>
      <c r="I134" s="311"/>
      <c r="J134" s="358"/>
      <c r="K134" s="311"/>
      <c r="L134" s="298"/>
    </row>
    <row r="135" spans="1:12" ht="120" x14ac:dyDescent="0.25">
      <c r="A135" s="207"/>
      <c r="B135" s="310" t="s">
        <v>1301</v>
      </c>
      <c r="C135" s="207" t="s">
        <v>1324</v>
      </c>
      <c r="D135" s="207" t="s">
        <v>1076</v>
      </c>
      <c r="E135" s="207"/>
      <c r="F135" s="311"/>
      <c r="G135" s="311"/>
      <c r="H135" s="311"/>
      <c r="I135" s="311"/>
      <c r="J135" s="358"/>
      <c r="K135" s="311"/>
      <c r="L135" s="298"/>
    </row>
    <row r="136" spans="1:12" ht="120" x14ac:dyDescent="0.25">
      <c r="A136" s="207"/>
      <c r="B136" s="300" t="s">
        <v>1322</v>
      </c>
      <c r="C136" s="207" t="s">
        <v>1324</v>
      </c>
      <c r="D136" s="207" t="s">
        <v>1076</v>
      </c>
      <c r="E136" s="207"/>
      <c r="F136" s="311"/>
      <c r="G136" s="311"/>
      <c r="H136" s="311"/>
      <c r="I136" s="311"/>
      <c r="J136" s="358"/>
      <c r="K136" s="311"/>
      <c r="L136" s="298"/>
    </row>
  </sheetData>
  <mergeCells count="8">
    <mergeCell ref="A54:A55"/>
    <mergeCell ref="B54:B55"/>
    <mergeCell ref="A3:H3"/>
    <mergeCell ref="A4:H4"/>
    <mergeCell ref="A7:H7"/>
    <mergeCell ref="A8:H8"/>
    <mergeCell ref="A24:A26"/>
    <mergeCell ref="B24:B26"/>
  </mergeCells>
  <dataValidations count="1">
    <dataValidation type="whole" allowBlank="1" showInputMessage="1" showErrorMessage="1" errorTitle="Ошибка ввода" error="Попытка ввсети данные отличные от числовых или целочисленных" sqref="G57:G58 F48:G56 F24:G26 F113:K114 H48:K58 F91:K93 F63:K63 F73:K74 H24:K27 F110:K111">
      <formula1>0</formula1>
      <formula2>999999999999</formula2>
    </dataValidation>
  </dataValidations>
  <pageMargins left="0.70866141732283472" right="0.70866141732283472" top="0.74803149606299213" bottom="0.74803149606299213" header="0.31496062992125984" footer="0.31496062992125984"/>
  <pageSetup paperSize="9" scale="49" fitToHeight="4" orientation="portrait" r:id="rId1"/>
  <rowBreaks count="3" manualBreakCount="3">
    <brk id="44" max="9" man="1"/>
    <brk id="63" max="9" man="1"/>
    <brk id="11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H76"/>
  <sheetViews>
    <sheetView workbookViewId="0"/>
  </sheetViews>
  <sheetFormatPr defaultRowHeight="15" x14ac:dyDescent="0.25"/>
  <cols>
    <col min="2" max="2" width="75.140625" customWidth="1"/>
    <col min="3" max="3" width="20.140625" customWidth="1"/>
    <col min="4" max="4" width="16.140625" customWidth="1"/>
    <col min="5" max="7" width="12.28515625" customWidth="1"/>
    <col min="8" max="8" width="41.85546875" customWidth="1"/>
  </cols>
  <sheetData>
    <row r="3" spans="1:8" ht="18.75" x14ac:dyDescent="0.3">
      <c r="A3" s="440" t="s">
        <v>0</v>
      </c>
      <c r="B3" s="440"/>
      <c r="C3" s="440"/>
      <c r="D3" s="440"/>
      <c r="E3" s="440"/>
      <c r="F3" s="440"/>
      <c r="G3" s="440"/>
      <c r="H3" s="12"/>
    </row>
    <row r="4" spans="1:8" ht="18.75" x14ac:dyDescent="0.3">
      <c r="A4" s="440" t="s">
        <v>1</v>
      </c>
      <c r="B4" s="440"/>
      <c r="C4" s="440"/>
      <c r="D4" s="440"/>
      <c r="E4" s="440"/>
      <c r="F4" s="440"/>
      <c r="G4" s="440"/>
      <c r="H4" s="23"/>
    </row>
    <row r="5" spans="1:8" x14ac:dyDescent="0.25">
      <c r="A5" s="1"/>
      <c r="B5" s="1"/>
      <c r="C5" s="1"/>
      <c r="D5" s="1"/>
      <c r="E5" s="1"/>
      <c r="F5" s="1"/>
      <c r="G5" s="1"/>
      <c r="H5" s="1"/>
    </row>
    <row r="6" spans="1:8" ht="45" x14ac:dyDescent="0.25">
      <c r="A6" s="4" t="s">
        <v>6</v>
      </c>
      <c r="B6" s="4" t="s">
        <v>380</v>
      </c>
      <c r="C6" s="5" t="s">
        <v>10</v>
      </c>
      <c r="D6" s="5" t="s">
        <v>11</v>
      </c>
      <c r="E6" s="5" t="s">
        <v>1494</v>
      </c>
      <c r="F6" s="5" t="s">
        <v>1495</v>
      </c>
      <c r="G6" s="5" t="s">
        <v>1516</v>
      </c>
      <c r="H6" s="2" t="s">
        <v>12</v>
      </c>
    </row>
    <row r="7" spans="1:8" x14ac:dyDescent="0.25">
      <c r="A7" s="439" t="s">
        <v>876</v>
      </c>
      <c r="B7" s="439"/>
      <c r="C7" s="439"/>
      <c r="D7" s="439"/>
      <c r="E7" s="439"/>
      <c r="F7" s="439"/>
      <c r="G7" s="439"/>
    </row>
    <row r="8" spans="1:8" x14ac:dyDescent="0.25">
      <c r="A8" s="439" t="s">
        <v>985</v>
      </c>
      <c r="B8" s="439"/>
      <c r="C8" s="439"/>
      <c r="D8" s="439"/>
      <c r="E8" s="439"/>
      <c r="F8" s="439"/>
      <c r="G8" s="439"/>
    </row>
    <row r="9" spans="1:8" ht="30" x14ac:dyDescent="0.25">
      <c r="A9" s="53" t="s">
        <v>987</v>
      </c>
      <c r="B9" s="54" t="s">
        <v>986</v>
      </c>
      <c r="C9" s="57"/>
      <c r="D9" s="55"/>
      <c r="E9" s="55"/>
      <c r="F9" s="55"/>
      <c r="G9" s="55"/>
    </row>
    <row r="10" spans="1:8" ht="60" x14ac:dyDescent="0.25">
      <c r="A10" s="56" t="s">
        <v>991</v>
      </c>
      <c r="B10" s="57" t="s">
        <v>988</v>
      </c>
      <c r="C10" s="57"/>
      <c r="D10" s="56" t="s">
        <v>9</v>
      </c>
      <c r="E10" s="48" t="e">
        <f>E11/E12*100</f>
        <v>#DIV/0!</v>
      </c>
      <c r="F10" s="48" t="e">
        <f>F11/F12*100</f>
        <v>#DIV/0!</v>
      </c>
      <c r="G10" s="48" t="e">
        <f>G11/G12*100</f>
        <v>#DIV/0!</v>
      </c>
      <c r="H10" s="3" t="s">
        <v>46</v>
      </c>
    </row>
    <row r="11" spans="1:8" ht="45" customHeight="1" x14ac:dyDescent="0.25">
      <c r="A11" s="35"/>
      <c r="B11" s="60" t="s">
        <v>989</v>
      </c>
      <c r="C11" s="35" t="s">
        <v>147</v>
      </c>
      <c r="D11" s="35" t="s">
        <v>1076</v>
      </c>
      <c r="E11" s="35"/>
      <c r="F11" s="35"/>
      <c r="G11" s="35"/>
    </row>
    <row r="12" spans="1:8" ht="45" customHeight="1" x14ac:dyDescent="0.25">
      <c r="A12" s="35"/>
      <c r="B12" s="60" t="s">
        <v>990</v>
      </c>
      <c r="C12" s="35" t="s">
        <v>147</v>
      </c>
      <c r="D12" s="35" t="s">
        <v>1076</v>
      </c>
      <c r="E12" s="35"/>
      <c r="F12" s="35"/>
      <c r="G12" s="35"/>
    </row>
    <row r="13" spans="1:8" ht="90" x14ac:dyDescent="0.25">
      <c r="A13" s="125" t="s">
        <v>992</v>
      </c>
      <c r="B13" s="126" t="s">
        <v>1559</v>
      </c>
      <c r="C13" s="125"/>
      <c r="D13" s="125" t="s">
        <v>9</v>
      </c>
      <c r="E13" s="130" t="e">
        <f>1/E14*E21</f>
        <v>#DIV/0!</v>
      </c>
      <c r="F13" s="130" t="e">
        <f>1/F14*F21</f>
        <v>#DIV/0!</v>
      </c>
      <c r="G13" s="130" t="e">
        <f>1/G14*G21</f>
        <v>#DIV/0!</v>
      </c>
      <c r="H13" s="3" t="s">
        <v>106</v>
      </c>
    </row>
    <row r="14" spans="1:8" ht="105" x14ac:dyDescent="0.25">
      <c r="A14" s="125"/>
      <c r="B14" s="126" t="s">
        <v>1001</v>
      </c>
      <c r="C14" s="125" t="s">
        <v>994</v>
      </c>
      <c r="D14" s="125"/>
      <c r="E14" s="125">
        <f>E15+E16+E17+E18+E19+E20</f>
        <v>0</v>
      </c>
      <c r="F14" s="125">
        <f>F15+F16+F17+F18+F19+F20</f>
        <v>0</v>
      </c>
      <c r="G14" s="125">
        <f>G15+G16+G17+G18+G19+G20</f>
        <v>0</v>
      </c>
    </row>
    <row r="15" spans="1:8" x14ac:dyDescent="0.25">
      <c r="A15" s="125"/>
      <c r="B15" s="126" t="s">
        <v>995</v>
      </c>
      <c r="C15" s="125"/>
      <c r="D15" s="125" t="s">
        <v>1076</v>
      </c>
      <c r="E15" s="125"/>
      <c r="F15" s="125"/>
      <c r="G15" s="125"/>
    </row>
    <row r="16" spans="1:8" ht="45" x14ac:dyDescent="0.25">
      <c r="A16" s="126"/>
      <c r="B16" s="126" t="s">
        <v>996</v>
      </c>
      <c r="C16" s="125"/>
      <c r="D16" s="125" t="s">
        <v>1076</v>
      </c>
      <c r="E16" s="125"/>
      <c r="F16" s="125"/>
      <c r="G16" s="125"/>
    </row>
    <row r="17" spans="1:8" ht="45" x14ac:dyDescent="0.25">
      <c r="A17" s="126"/>
      <c r="B17" s="126" t="s">
        <v>997</v>
      </c>
      <c r="C17" s="125"/>
      <c r="D17" s="125" t="s">
        <v>1076</v>
      </c>
      <c r="E17" s="125"/>
      <c r="F17" s="125"/>
      <c r="G17" s="125"/>
    </row>
    <row r="18" spans="1:8" ht="45" x14ac:dyDescent="0.25">
      <c r="A18" s="126"/>
      <c r="B18" s="126" t="s">
        <v>998</v>
      </c>
      <c r="C18" s="125"/>
      <c r="D18" s="125" t="s">
        <v>1076</v>
      </c>
      <c r="E18" s="125"/>
      <c r="F18" s="125"/>
      <c r="G18" s="125"/>
    </row>
    <row r="19" spans="1:8" ht="30" x14ac:dyDescent="0.25">
      <c r="A19" s="126"/>
      <c r="B19" s="126" t="s">
        <v>999</v>
      </c>
      <c r="C19" s="125"/>
      <c r="D19" s="125" t="s">
        <v>1076</v>
      </c>
      <c r="E19" s="125"/>
      <c r="F19" s="125"/>
      <c r="G19" s="125"/>
    </row>
    <row r="20" spans="1:8" ht="45" x14ac:dyDescent="0.25">
      <c r="A20" s="126"/>
      <c r="B20" s="126" t="s">
        <v>1000</v>
      </c>
      <c r="C20" s="125"/>
      <c r="D20" s="125" t="s">
        <v>1076</v>
      </c>
      <c r="E20" s="125"/>
      <c r="F20" s="125"/>
      <c r="G20" s="125"/>
    </row>
    <row r="21" spans="1:8" ht="105" x14ac:dyDescent="0.25">
      <c r="A21" s="126"/>
      <c r="B21" s="126" t="s">
        <v>993</v>
      </c>
      <c r="C21" s="125" t="s">
        <v>994</v>
      </c>
      <c r="D21" s="125" t="s">
        <v>1076</v>
      </c>
      <c r="E21" s="125"/>
      <c r="F21" s="125"/>
      <c r="G21" s="125"/>
    </row>
    <row r="22" spans="1:8" ht="45" x14ac:dyDescent="0.25">
      <c r="A22" s="39" t="s">
        <v>1002</v>
      </c>
      <c r="B22" s="40" t="s">
        <v>1003</v>
      </c>
      <c r="C22" s="39"/>
      <c r="D22" s="39" t="s">
        <v>9</v>
      </c>
      <c r="E22" s="42">
        <f>E23/E24*100</f>
        <v>18.897240602760178</v>
      </c>
      <c r="F22" s="42">
        <f>F23/F24*100</f>
        <v>18.897240602760178</v>
      </c>
      <c r="G22" s="42" t="e">
        <f>G23/G24*100</f>
        <v>#DIV/0!</v>
      </c>
      <c r="H22" s="3" t="s">
        <v>46</v>
      </c>
    </row>
    <row r="23" spans="1:8" ht="30" x14ac:dyDescent="0.25">
      <c r="A23" s="31"/>
      <c r="B23" s="20" t="s">
        <v>1004</v>
      </c>
      <c r="C23" s="6" t="s">
        <v>1005</v>
      </c>
      <c r="D23" s="6" t="s">
        <v>1076</v>
      </c>
      <c r="E23" s="11">
        <v>121003</v>
      </c>
      <c r="F23" s="11">
        <v>121003</v>
      </c>
      <c r="G23" s="11"/>
    </row>
    <row r="24" spans="1:8" ht="30" x14ac:dyDescent="0.25">
      <c r="A24" s="31"/>
      <c r="B24" s="20" t="s">
        <v>1006</v>
      </c>
      <c r="C24" s="6" t="s">
        <v>1007</v>
      </c>
      <c r="D24" s="6" t="s">
        <v>1076</v>
      </c>
      <c r="E24" s="11">
        <v>640321</v>
      </c>
      <c r="F24" s="11">
        <v>640321</v>
      </c>
      <c r="G24" s="11"/>
    </row>
    <row r="25" spans="1:8" ht="30" x14ac:dyDescent="0.25">
      <c r="A25" s="44" t="s">
        <v>1008</v>
      </c>
      <c r="B25" s="45" t="s">
        <v>1009</v>
      </c>
      <c r="C25" s="41"/>
      <c r="D25" s="39"/>
      <c r="E25" s="46"/>
      <c r="F25" s="46"/>
      <c r="G25" s="46"/>
    </row>
    <row r="26" spans="1:8" ht="60" x14ac:dyDescent="0.25">
      <c r="A26" s="39" t="s">
        <v>1011</v>
      </c>
      <c r="B26" s="40" t="s">
        <v>1010</v>
      </c>
      <c r="C26" s="41"/>
      <c r="D26" s="39" t="s">
        <v>9</v>
      </c>
      <c r="E26" s="42">
        <f>E27/E28*100</f>
        <v>3.3354544928638132</v>
      </c>
      <c r="F26" s="42">
        <f>F27/F28*100</f>
        <v>3.3354544928638132</v>
      </c>
      <c r="G26" s="42" t="e">
        <f>G27/G28*100</f>
        <v>#DIV/0!</v>
      </c>
      <c r="H26" s="3" t="s">
        <v>46</v>
      </c>
    </row>
    <row r="27" spans="1:8" ht="45" x14ac:dyDescent="0.25">
      <c r="A27" s="6"/>
      <c r="B27" s="20" t="s">
        <v>1012</v>
      </c>
      <c r="C27" s="6" t="s">
        <v>1013</v>
      </c>
      <c r="D27" s="6" t="s">
        <v>1076</v>
      </c>
      <c r="E27" s="113">
        <v>4036</v>
      </c>
      <c r="F27" s="113">
        <v>4036</v>
      </c>
      <c r="G27" s="113"/>
      <c r="H27" s="3"/>
    </row>
    <row r="28" spans="1:8" ht="30" x14ac:dyDescent="0.25">
      <c r="A28" s="6"/>
      <c r="B28" s="20" t="s">
        <v>1004</v>
      </c>
      <c r="C28" s="6" t="s">
        <v>1014</v>
      </c>
      <c r="D28" s="6" t="s">
        <v>1076</v>
      </c>
      <c r="E28" s="11">
        <v>121003</v>
      </c>
      <c r="F28" s="11">
        <v>121003</v>
      </c>
      <c r="G28" s="11"/>
      <c r="H28" s="3"/>
    </row>
    <row r="29" spans="1:8" ht="45" x14ac:dyDescent="0.25">
      <c r="A29" s="53" t="s">
        <v>1015</v>
      </c>
      <c r="B29" s="54" t="s">
        <v>1016</v>
      </c>
      <c r="C29" s="55"/>
      <c r="D29" s="55"/>
      <c r="E29" s="55"/>
      <c r="F29" s="55"/>
      <c r="G29" s="55"/>
    </row>
    <row r="30" spans="1:8" ht="75" x14ac:dyDescent="0.25">
      <c r="A30" s="56" t="s">
        <v>1017</v>
      </c>
      <c r="B30" s="57" t="s">
        <v>1018</v>
      </c>
      <c r="C30" s="55"/>
      <c r="D30" s="56"/>
      <c r="E30" s="48"/>
      <c r="F30" s="48"/>
      <c r="G30" s="48"/>
      <c r="H30" s="3" t="s">
        <v>624</v>
      </c>
    </row>
    <row r="31" spans="1:8" x14ac:dyDescent="0.25">
      <c r="A31" s="56"/>
      <c r="B31" s="70" t="s">
        <v>1293</v>
      </c>
      <c r="C31" s="56"/>
      <c r="D31" s="56" t="s">
        <v>9</v>
      </c>
      <c r="E31" s="48" t="e">
        <f>E33/E35*100</f>
        <v>#DIV/0!</v>
      </c>
      <c r="F31" s="48" t="e">
        <f>F33/F35*100</f>
        <v>#DIV/0!</v>
      </c>
      <c r="G31" s="48" t="e">
        <f>G33/G35*100</f>
        <v>#DIV/0!</v>
      </c>
      <c r="H31" s="3"/>
    </row>
    <row r="32" spans="1:8" x14ac:dyDescent="0.25">
      <c r="A32" s="56"/>
      <c r="B32" s="70" t="s">
        <v>1294</v>
      </c>
      <c r="C32" s="56"/>
      <c r="D32" s="56" t="s">
        <v>9</v>
      </c>
      <c r="E32" s="48" t="e">
        <f>E34/E35*100</f>
        <v>#DIV/0!</v>
      </c>
      <c r="F32" s="48" t="e">
        <f>F34/F35*100</f>
        <v>#DIV/0!</v>
      </c>
      <c r="G32" s="48" t="e">
        <f>G34/G35*100</f>
        <v>#DIV/0!</v>
      </c>
      <c r="H32" s="3"/>
    </row>
    <row r="33" spans="1:8" ht="75" x14ac:dyDescent="0.25">
      <c r="A33" s="35"/>
      <c r="B33" s="60" t="s">
        <v>1019</v>
      </c>
      <c r="C33" s="35" t="s">
        <v>147</v>
      </c>
      <c r="D33" s="35" t="s">
        <v>1076</v>
      </c>
      <c r="E33" s="36"/>
      <c r="F33" s="36"/>
      <c r="G33" s="36"/>
      <c r="H33" s="3"/>
    </row>
    <row r="34" spans="1:8" ht="75" x14ac:dyDescent="0.25">
      <c r="A34" s="35"/>
      <c r="B34" s="60" t="s">
        <v>1020</v>
      </c>
      <c r="C34" s="35" t="s">
        <v>147</v>
      </c>
      <c r="D34" s="35" t="s">
        <v>1076</v>
      </c>
      <c r="E34" s="36"/>
      <c r="F34" s="36"/>
      <c r="G34" s="36"/>
      <c r="H34" s="3"/>
    </row>
    <row r="35" spans="1:8" ht="60" x14ac:dyDescent="0.25">
      <c r="A35" s="35"/>
      <c r="B35" s="60" t="s">
        <v>1021</v>
      </c>
      <c r="C35" s="35" t="s">
        <v>147</v>
      </c>
      <c r="D35" s="35" t="s">
        <v>1076</v>
      </c>
      <c r="E35" s="36"/>
      <c r="F35" s="36"/>
      <c r="G35" s="36"/>
      <c r="H35" s="3"/>
    </row>
    <row r="36" spans="1:8" ht="60" x14ac:dyDescent="0.25">
      <c r="A36" s="53" t="s">
        <v>1022</v>
      </c>
      <c r="B36" s="54" t="s">
        <v>1023</v>
      </c>
      <c r="C36" s="55"/>
      <c r="D36" s="56"/>
      <c r="E36" s="55"/>
      <c r="F36" s="55"/>
      <c r="G36" s="55"/>
    </row>
    <row r="37" spans="1:8" ht="75" x14ac:dyDescent="0.25">
      <c r="A37" s="56" t="s">
        <v>1025</v>
      </c>
      <c r="B37" s="57" t="s">
        <v>1024</v>
      </c>
      <c r="C37" s="55"/>
      <c r="D37" s="56" t="s">
        <v>9</v>
      </c>
      <c r="E37" s="48" t="e">
        <f>E38/E39*100</f>
        <v>#DIV/0!</v>
      </c>
      <c r="F37" s="48" t="e">
        <f>F38/F39*100</f>
        <v>#DIV/0!</v>
      </c>
      <c r="G37" s="48" t="e">
        <f>G38/G39*100</f>
        <v>#DIV/0!</v>
      </c>
      <c r="H37" s="3" t="s">
        <v>1028</v>
      </c>
    </row>
    <row r="38" spans="1:8" ht="60" x14ac:dyDescent="0.25">
      <c r="A38" s="35"/>
      <c r="B38" s="60" t="s">
        <v>1026</v>
      </c>
      <c r="C38" s="35" t="s">
        <v>147</v>
      </c>
      <c r="D38" s="35" t="s">
        <v>1270</v>
      </c>
      <c r="E38" s="36"/>
      <c r="F38" s="36"/>
      <c r="G38" s="36"/>
      <c r="H38" s="19"/>
    </row>
    <row r="39" spans="1:8" ht="45" x14ac:dyDescent="0.25">
      <c r="A39" s="35"/>
      <c r="B39" s="60" t="s">
        <v>1027</v>
      </c>
      <c r="C39" s="35" t="s">
        <v>147</v>
      </c>
      <c r="D39" s="35" t="s">
        <v>1270</v>
      </c>
      <c r="E39" s="36"/>
      <c r="F39" s="36"/>
      <c r="G39" s="36"/>
    </row>
    <row r="40" spans="1:8" ht="60" x14ac:dyDescent="0.25">
      <c r="A40" s="56" t="s">
        <v>1030</v>
      </c>
      <c r="B40" s="57" t="s">
        <v>1029</v>
      </c>
      <c r="C40" s="55"/>
      <c r="D40" s="56"/>
      <c r="E40" s="48"/>
      <c r="F40" s="48"/>
      <c r="G40" s="48"/>
      <c r="H40" s="3" t="s">
        <v>624</v>
      </c>
    </row>
    <row r="41" spans="1:8" x14ac:dyDescent="0.25">
      <c r="A41" s="56"/>
      <c r="B41" s="57" t="s">
        <v>186</v>
      </c>
      <c r="C41" s="55"/>
      <c r="D41" s="56" t="s">
        <v>1268</v>
      </c>
      <c r="E41" s="48" t="e">
        <f>E43/E45*100</f>
        <v>#DIV/0!</v>
      </c>
      <c r="F41" s="48" t="e">
        <f>F43/F45*100</f>
        <v>#DIV/0!</v>
      </c>
      <c r="G41" s="48" t="e">
        <f>G43/G45*100</f>
        <v>#DIV/0!</v>
      </c>
      <c r="H41" s="3"/>
    </row>
    <row r="42" spans="1:8" x14ac:dyDescent="0.25">
      <c r="A42" s="56"/>
      <c r="B42" s="57" t="s">
        <v>220</v>
      </c>
      <c r="C42" s="55"/>
      <c r="D42" s="56" t="s">
        <v>1268</v>
      </c>
      <c r="E42" s="48" t="e">
        <f>E44/E45*100</f>
        <v>#DIV/0!</v>
      </c>
      <c r="F42" s="48" t="e">
        <f>F44/F45*100</f>
        <v>#DIV/0!</v>
      </c>
      <c r="G42" s="48" t="e">
        <f>G44/G45*100</f>
        <v>#DIV/0!</v>
      </c>
      <c r="H42" s="3"/>
    </row>
    <row r="43" spans="1:8" ht="45" x14ac:dyDescent="0.25">
      <c r="A43" s="35"/>
      <c r="B43" s="60" t="s">
        <v>1031</v>
      </c>
      <c r="C43" s="35" t="s">
        <v>147</v>
      </c>
      <c r="D43" s="35" t="s">
        <v>1268</v>
      </c>
      <c r="E43" s="36"/>
      <c r="F43" s="36"/>
      <c r="G43" s="36"/>
      <c r="H43" s="3"/>
    </row>
    <row r="44" spans="1:8" ht="60" x14ac:dyDescent="0.25">
      <c r="A44" s="35"/>
      <c r="B44" s="60" t="s">
        <v>1032</v>
      </c>
      <c r="C44" s="35" t="s">
        <v>147</v>
      </c>
      <c r="D44" s="35" t="s">
        <v>1268</v>
      </c>
      <c r="E44" s="36"/>
      <c r="F44" s="36"/>
      <c r="G44" s="36"/>
      <c r="H44" s="3"/>
    </row>
    <row r="45" spans="1:8" ht="45" x14ac:dyDescent="0.25">
      <c r="A45" s="35"/>
      <c r="B45" s="60" t="s">
        <v>1033</v>
      </c>
      <c r="C45" s="35" t="s">
        <v>147</v>
      </c>
      <c r="D45" s="35" t="s">
        <v>1076</v>
      </c>
      <c r="E45" s="36"/>
      <c r="F45" s="36"/>
      <c r="G45" s="36"/>
      <c r="H45" s="3"/>
    </row>
    <row r="46" spans="1:8" ht="60" x14ac:dyDescent="0.25">
      <c r="A46" s="53" t="s">
        <v>1034</v>
      </c>
      <c r="B46" s="54" t="s">
        <v>1035</v>
      </c>
      <c r="C46" s="55"/>
      <c r="D46" s="55"/>
      <c r="E46" s="55"/>
      <c r="F46" s="55"/>
      <c r="G46" s="55"/>
    </row>
    <row r="47" spans="1:8" ht="75" x14ac:dyDescent="0.25">
      <c r="A47" s="56" t="s">
        <v>1037</v>
      </c>
      <c r="B47" s="57" t="s">
        <v>1036</v>
      </c>
      <c r="C47" s="55"/>
      <c r="D47" s="56"/>
      <c r="E47" s="48"/>
      <c r="F47" s="48"/>
      <c r="G47" s="48"/>
      <c r="H47" s="3" t="s">
        <v>624</v>
      </c>
    </row>
    <row r="48" spans="1:8" x14ac:dyDescent="0.25">
      <c r="A48" s="56"/>
      <c r="B48" s="57" t="s">
        <v>1038</v>
      </c>
      <c r="C48" s="55"/>
      <c r="D48" s="56" t="s">
        <v>9</v>
      </c>
      <c r="E48" s="48" t="e">
        <f>E51/E54*100</f>
        <v>#DIV/0!</v>
      </c>
      <c r="F48" s="48" t="e">
        <f>F51/F54*100</f>
        <v>#DIV/0!</v>
      </c>
      <c r="G48" s="48" t="e">
        <f>G51/G54*100</f>
        <v>#DIV/0!</v>
      </c>
      <c r="H48" s="3"/>
    </row>
    <row r="49" spans="1:8" x14ac:dyDescent="0.25">
      <c r="A49" s="56"/>
      <c r="B49" s="57" t="s">
        <v>553</v>
      </c>
      <c r="C49" s="55"/>
      <c r="D49" s="56" t="s">
        <v>9</v>
      </c>
      <c r="E49" s="48" t="e">
        <f t="shared" ref="E49:F50" si="0">E52/E55*100</f>
        <v>#DIV/0!</v>
      </c>
      <c r="F49" s="48" t="e">
        <f t="shared" si="0"/>
        <v>#DIV/0!</v>
      </c>
      <c r="G49" s="48" t="e">
        <f t="shared" ref="G49" si="1">G52/G55*100</f>
        <v>#DIV/0!</v>
      </c>
      <c r="H49" s="3"/>
    </row>
    <row r="50" spans="1:8" x14ac:dyDescent="0.25">
      <c r="A50" s="56"/>
      <c r="B50" s="57" t="s">
        <v>573</v>
      </c>
      <c r="C50" s="55"/>
      <c r="D50" s="56" t="s">
        <v>9</v>
      </c>
      <c r="E50" s="48" t="e">
        <f t="shared" si="0"/>
        <v>#DIV/0!</v>
      </c>
      <c r="F50" s="48" t="e">
        <f t="shared" si="0"/>
        <v>#DIV/0!</v>
      </c>
      <c r="G50" s="48" t="e">
        <f t="shared" ref="G50" si="2">G53/G56*100</f>
        <v>#DIV/0!</v>
      </c>
      <c r="H50" s="3"/>
    </row>
    <row r="51" spans="1:8" ht="49.5" customHeight="1" x14ac:dyDescent="0.25">
      <c r="A51" s="35"/>
      <c r="B51" s="60" t="s">
        <v>1039</v>
      </c>
      <c r="C51" s="35" t="s">
        <v>147</v>
      </c>
      <c r="D51" s="35" t="s">
        <v>1268</v>
      </c>
      <c r="E51" s="36"/>
      <c r="F51" s="36"/>
      <c r="G51" s="36"/>
      <c r="H51" s="19"/>
    </row>
    <row r="52" spans="1:8" ht="49.5" customHeight="1" x14ac:dyDescent="0.25">
      <c r="A52" s="35"/>
      <c r="B52" s="60" t="s">
        <v>1040</v>
      </c>
      <c r="C52" s="35" t="s">
        <v>147</v>
      </c>
      <c r="D52" s="35" t="s">
        <v>1268</v>
      </c>
      <c r="E52" s="36"/>
      <c r="F52" s="36"/>
      <c r="G52" s="36"/>
    </row>
    <row r="53" spans="1:8" ht="45" x14ac:dyDescent="0.25">
      <c r="A53" s="35"/>
      <c r="B53" s="60" t="s">
        <v>1041</v>
      </c>
      <c r="C53" s="35" t="s">
        <v>147</v>
      </c>
      <c r="D53" s="35" t="s">
        <v>1268</v>
      </c>
      <c r="E53" s="36"/>
      <c r="F53" s="36"/>
      <c r="G53" s="36"/>
      <c r="H53" s="19"/>
    </row>
    <row r="54" spans="1:8" ht="45" x14ac:dyDescent="0.25">
      <c r="A54" s="35"/>
      <c r="B54" s="60" t="s">
        <v>1042</v>
      </c>
      <c r="C54" s="35" t="s">
        <v>147</v>
      </c>
      <c r="D54" s="35" t="s">
        <v>1268</v>
      </c>
      <c r="E54" s="36"/>
      <c r="F54" s="36"/>
      <c r="G54" s="36"/>
    </row>
    <row r="55" spans="1:8" ht="60" x14ac:dyDescent="0.25">
      <c r="A55" s="35"/>
      <c r="B55" s="60" t="s">
        <v>1043</v>
      </c>
      <c r="C55" s="35" t="s">
        <v>147</v>
      </c>
      <c r="D55" s="35" t="s">
        <v>1268</v>
      </c>
      <c r="E55" s="36"/>
      <c r="F55" s="36"/>
      <c r="G55" s="36"/>
    </row>
    <row r="56" spans="1:8" ht="60" x14ac:dyDescent="0.25">
      <c r="A56" s="35"/>
      <c r="B56" s="60" t="s">
        <v>1044</v>
      </c>
      <c r="C56" s="35" t="s">
        <v>147</v>
      </c>
      <c r="D56" s="35" t="s">
        <v>1268</v>
      </c>
      <c r="E56" s="36"/>
      <c r="F56" s="36"/>
      <c r="G56" s="36"/>
    </row>
    <row r="57" spans="1:8" ht="30" x14ac:dyDescent="0.25">
      <c r="A57" s="53" t="s">
        <v>1045</v>
      </c>
      <c r="B57" s="54" t="s">
        <v>1046</v>
      </c>
      <c r="C57" s="55"/>
      <c r="D57" s="55"/>
      <c r="E57" s="55"/>
      <c r="F57" s="55"/>
      <c r="G57" s="55"/>
    </row>
    <row r="58" spans="1:8" ht="60" x14ac:dyDescent="0.25">
      <c r="A58" s="56" t="s">
        <v>1048</v>
      </c>
      <c r="B58" s="57" t="s">
        <v>1047</v>
      </c>
      <c r="C58" s="56"/>
      <c r="D58" s="56" t="s">
        <v>9</v>
      </c>
      <c r="E58" s="48" t="e">
        <f>E59/E60*100</f>
        <v>#DIV/0!</v>
      </c>
      <c r="F58" s="48" t="e">
        <f>F59/F60*100</f>
        <v>#DIV/0!</v>
      </c>
      <c r="G58" s="48" t="e">
        <f>G59/G60*100</f>
        <v>#DIV/0!</v>
      </c>
      <c r="H58" s="3" t="s">
        <v>624</v>
      </c>
    </row>
    <row r="59" spans="1:8" ht="30" x14ac:dyDescent="0.25">
      <c r="A59" s="61"/>
      <c r="B59" s="60" t="s">
        <v>1049</v>
      </c>
      <c r="C59" s="35" t="s">
        <v>147</v>
      </c>
      <c r="D59" s="59" t="s">
        <v>1076</v>
      </c>
      <c r="E59" s="36"/>
      <c r="F59" s="36"/>
      <c r="G59" s="36"/>
    </row>
    <row r="60" spans="1:8" ht="30" x14ac:dyDescent="0.25">
      <c r="A60" s="61"/>
      <c r="B60" s="60" t="s">
        <v>1050</v>
      </c>
      <c r="C60" s="35" t="s">
        <v>147</v>
      </c>
      <c r="D60" s="59" t="s">
        <v>1076</v>
      </c>
      <c r="E60" s="36"/>
      <c r="F60" s="36"/>
      <c r="G60" s="36"/>
    </row>
    <row r="61" spans="1:8" ht="45" x14ac:dyDescent="0.25">
      <c r="A61" s="53" t="s">
        <v>1051</v>
      </c>
      <c r="B61" s="54" t="s">
        <v>1052</v>
      </c>
      <c r="C61" s="55"/>
      <c r="D61" s="55"/>
      <c r="E61" s="55"/>
      <c r="F61" s="55"/>
      <c r="G61" s="55"/>
    </row>
    <row r="62" spans="1:8" ht="60" x14ac:dyDescent="0.25">
      <c r="A62" s="56" t="s">
        <v>1054</v>
      </c>
      <c r="B62" s="57" t="s">
        <v>1053</v>
      </c>
      <c r="C62" s="56"/>
      <c r="D62" s="56" t="s">
        <v>9</v>
      </c>
      <c r="E62" s="48" t="e">
        <f>E63/E64*100</f>
        <v>#DIV/0!</v>
      </c>
      <c r="F62" s="48" t="e">
        <f>F63/F64*100</f>
        <v>#DIV/0!</v>
      </c>
      <c r="G62" s="48" t="e">
        <f>G63/G64*100</f>
        <v>#DIV/0!</v>
      </c>
      <c r="H62" s="3" t="s">
        <v>624</v>
      </c>
    </row>
    <row r="63" spans="1:8" ht="45" x14ac:dyDescent="0.25">
      <c r="A63" s="35"/>
      <c r="B63" s="60" t="s">
        <v>1055</v>
      </c>
      <c r="C63" s="35" t="s">
        <v>147</v>
      </c>
      <c r="D63" s="59" t="s">
        <v>1270</v>
      </c>
      <c r="E63" s="36"/>
      <c r="F63" s="36"/>
      <c r="G63" s="36"/>
      <c r="H63" s="3"/>
    </row>
    <row r="64" spans="1:8" ht="45" x14ac:dyDescent="0.25">
      <c r="A64" s="35"/>
      <c r="B64" s="60" t="s">
        <v>1056</v>
      </c>
      <c r="C64" s="35" t="s">
        <v>147</v>
      </c>
      <c r="D64" s="59" t="s">
        <v>1270</v>
      </c>
      <c r="E64" s="36"/>
      <c r="F64" s="36"/>
      <c r="G64" s="36"/>
      <c r="H64" s="3"/>
    </row>
    <row r="65" spans="1:8" ht="45" x14ac:dyDescent="0.25">
      <c r="A65" s="53" t="s">
        <v>1057</v>
      </c>
      <c r="B65" s="54" t="s">
        <v>1058</v>
      </c>
      <c r="C65" s="55"/>
      <c r="D65" s="55"/>
      <c r="E65" s="55"/>
      <c r="F65" s="55"/>
      <c r="G65" s="55"/>
    </row>
    <row r="66" spans="1:8" ht="60" x14ac:dyDescent="0.25">
      <c r="A66" s="56" t="s">
        <v>1059</v>
      </c>
      <c r="B66" s="57" t="s">
        <v>1302</v>
      </c>
      <c r="C66" s="55"/>
      <c r="D66" s="56"/>
      <c r="E66" s="48"/>
      <c r="F66" s="48"/>
      <c r="G66" s="48"/>
      <c r="H66" s="3" t="s">
        <v>624</v>
      </c>
    </row>
    <row r="67" spans="1:8" x14ac:dyDescent="0.25">
      <c r="A67" s="55"/>
      <c r="B67" s="57" t="s">
        <v>614</v>
      </c>
      <c r="C67" s="56"/>
      <c r="D67" s="56" t="s">
        <v>9</v>
      </c>
      <c r="E67" s="48" t="e">
        <f t="shared" ref="E67:G68" si="3">E69/E71*100</f>
        <v>#DIV/0!</v>
      </c>
      <c r="F67" s="48" t="e">
        <f t="shared" si="3"/>
        <v>#DIV/0!</v>
      </c>
      <c r="G67" s="48" t="e">
        <f t="shared" si="3"/>
        <v>#DIV/0!</v>
      </c>
    </row>
    <row r="68" spans="1:8" x14ac:dyDescent="0.25">
      <c r="A68" s="55"/>
      <c r="B68" s="57" t="s">
        <v>619</v>
      </c>
      <c r="C68" s="56"/>
      <c r="D68" s="56" t="s">
        <v>9</v>
      </c>
      <c r="E68" s="48" t="e">
        <f t="shared" si="3"/>
        <v>#DIV/0!</v>
      </c>
      <c r="F68" s="48" t="e">
        <f t="shared" si="3"/>
        <v>#DIV/0!</v>
      </c>
      <c r="G68" s="48" t="e">
        <f t="shared" si="3"/>
        <v>#DIV/0!</v>
      </c>
    </row>
    <row r="69" spans="1:8" ht="60" x14ac:dyDescent="0.25">
      <c r="A69" s="61"/>
      <c r="B69" s="60" t="s">
        <v>1060</v>
      </c>
      <c r="C69" s="35" t="s">
        <v>147</v>
      </c>
      <c r="D69" s="59" t="s">
        <v>1267</v>
      </c>
      <c r="E69" s="36"/>
      <c r="F69" s="36"/>
      <c r="G69" s="36"/>
    </row>
    <row r="70" spans="1:8" ht="45" x14ac:dyDescent="0.25">
      <c r="A70" s="61"/>
      <c r="B70" s="60" t="s">
        <v>1061</v>
      </c>
      <c r="C70" s="35" t="s">
        <v>147</v>
      </c>
      <c r="D70" s="59" t="s">
        <v>1267</v>
      </c>
      <c r="E70" s="36"/>
      <c r="F70" s="36"/>
      <c r="G70" s="36"/>
    </row>
    <row r="71" spans="1:8" ht="45" x14ac:dyDescent="0.25">
      <c r="A71" s="61"/>
      <c r="B71" s="60" t="s">
        <v>1062</v>
      </c>
      <c r="C71" s="35" t="s">
        <v>147</v>
      </c>
      <c r="D71" s="59" t="s">
        <v>1267</v>
      </c>
      <c r="E71" s="36"/>
      <c r="F71" s="36"/>
      <c r="G71" s="36"/>
    </row>
    <row r="72" spans="1:8" ht="45" x14ac:dyDescent="0.25">
      <c r="A72" s="61"/>
      <c r="B72" s="60" t="s">
        <v>1063</v>
      </c>
      <c r="C72" s="35" t="s">
        <v>147</v>
      </c>
      <c r="D72" s="59" t="s">
        <v>1267</v>
      </c>
      <c r="E72" s="36"/>
      <c r="F72" s="36"/>
      <c r="G72" s="36"/>
    </row>
    <row r="73" spans="1:8" ht="30" x14ac:dyDescent="0.25">
      <c r="A73" s="53" t="s">
        <v>1064</v>
      </c>
      <c r="B73" s="54" t="s">
        <v>1065</v>
      </c>
      <c r="C73" s="55"/>
      <c r="D73" s="55"/>
      <c r="E73" s="55"/>
      <c r="F73" s="55"/>
      <c r="G73" s="55"/>
    </row>
    <row r="74" spans="1:8" ht="60" x14ac:dyDescent="0.25">
      <c r="A74" s="56" t="s">
        <v>1067</v>
      </c>
      <c r="B74" s="57" t="s">
        <v>1066</v>
      </c>
      <c r="C74" s="55"/>
      <c r="D74" s="56" t="s">
        <v>9</v>
      </c>
      <c r="E74" s="48" t="e">
        <f>E75/E76*100</f>
        <v>#DIV/0!</v>
      </c>
      <c r="F74" s="48" t="e">
        <f>F75/F76*100</f>
        <v>#DIV/0!</v>
      </c>
      <c r="G74" s="48" t="e">
        <f>G75/G76*100</f>
        <v>#DIV/0!</v>
      </c>
      <c r="H74" s="3" t="s">
        <v>106</v>
      </c>
    </row>
    <row r="75" spans="1:8" ht="60" x14ac:dyDescent="0.25">
      <c r="A75" s="35"/>
      <c r="B75" s="60" t="s">
        <v>1068</v>
      </c>
      <c r="C75" s="35" t="s">
        <v>542</v>
      </c>
      <c r="D75" s="59" t="s">
        <v>1270</v>
      </c>
      <c r="E75" s="36"/>
      <c r="F75" s="36"/>
      <c r="G75" s="36"/>
      <c r="H75" s="3"/>
    </row>
    <row r="76" spans="1:8" ht="60" x14ac:dyDescent="0.25">
      <c r="A76" s="35"/>
      <c r="B76" s="60" t="s">
        <v>1069</v>
      </c>
      <c r="C76" s="35" t="s">
        <v>542</v>
      </c>
      <c r="D76" s="59" t="s">
        <v>1270</v>
      </c>
      <c r="E76" s="36"/>
      <c r="F76" s="36"/>
      <c r="G76" s="36"/>
      <c r="H76" s="3"/>
    </row>
  </sheetData>
  <mergeCells count="4">
    <mergeCell ref="A3:G3"/>
    <mergeCell ref="A4:G4"/>
    <mergeCell ref="A7:G7"/>
    <mergeCell ref="A8:G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H59"/>
  <sheetViews>
    <sheetView workbookViewId="0"/>
  </sheetViews>
  <sheetFormatPr defaultRowHeight="15" x14ac:dyDescent="0.25"/>
  <cols>
    <col min="2" max="2" width="75.140625" customWidth="1"/>
    <col min="3" max="3" width="20.140625" customWidth="1"/>
    <col min="4" max="4" width="16.140625" customWidth="1"/>
    <col min="5" max="7" width="12.42578125" customWidth="1"/>
    <col min="8" max="8" width="41.85546875" customWidth="1"/>
  </cols>
  <sheetData>
    <row r="3" spans="1:8" ht="18.75" x14ac:dyDescent="0.3">
      <c r="A3" s="440" t="s">
        <v>0</v>
      </c>
      <c r="B3" s="440"/>
      <c r="C3" s="440"/>
      <c r="D3" s="440"/>
      <c r="E3" s="440"/>
      <c r="F3" s="440"/>
      <c r="G3" s="440"/>
      <c r="H3" s="12"/>
    </row>
    <row r="4" spans="1:8" ht="18.75" x14ac:dyDescent="0.3">
      <c r="A4" s="440" t="s">
        <v>1</v>
      </c>
      <c r="B4" s="440"/>
      <c r="C4" s="440"/>
      <c r="D4" s="440"/>
      <c r="E4" s="440"/>
      <c r="F4" s="440"/>
      <c r="G4" s="440"/>
      <c r="H4" s="23"/>
    </row>
    <row r="5" spans="1:8" x14ac:dyDescent="0.25">
      <c r="A5" s="1"/>
      <c r="B5" s="1"/>
      <c r="C5" s="1"/>
      <c r="D5" s="1"/>
      <c r="E5" s="1"/>
      <c r="F5" s="1"/>
      <c r="G5" s="1"/>
      <c r="H5" s="1"/>
    </row>
    <row r="6" spans="1:8" ht="45" x14ac:dyDescent="0.25">
      <c r="A6" s="4" t="s">
        <v>6</v>
      </c>
      <c r="B6" s="4" t="s">
        <v>380</v>
      </c>
      <c r="C6" s="5" t="s">
        <v>10</v>
      </c>
      <c r="D6" s="5" t="s">
        <v>11</v>
      </c>
      <c r="E6" s="5" t="s">
        <v>1494</v>
      </c>
      <c r="F6" s="5" t="s">
        <v>1495</v>
      </c>
      <c r="G6" s="5" t="s">
        <v>1516</v>
      </c>
      <c r="H6" s="2" t="s">
        <v>12</v>
      </c>
    </row>
    <row r="7" spans="1:8" x14ac:dyDescent="0.25">
      <c r="A7" s="439" t="s">
        <v>1070</v>
      </c>
      <c r="B7" s="439"/>
      <c r="C7" s="439"/>
      <c r="D7" s="439"/>
      <c r="E7" s="439"/>
      <c r="F7" s="439"/>
      <c r="G7" s="439"/>
    </row>
    <row r="8" spans="1:8" x14ac:dyDescent="0.25">
      <c r="A8" s="439" t="s">
        <v>1071</v>
      </c>
      <c r="B8" s="439"/>
      <c r="C8" s="439"/>
      <c r="D8" s="439"/>
      <c r="E8" s="439"/>
      <c r="F8" s="439"/>
      <c r="G8" s="439"/>
    </row>
    <row r="9" spans="1:8" ht="30" x14ac:dyDescent="0.25">
      <c r="A9" s="44" t="s">
        <v>1072</v>
      </c>
      <c r="B9" s="45" t="s">
        <v>1145</v>
      </c>
      <c r="C9" s="40"/>
      <c r="D9" s="41"/>
      <c r="E9" s="41"/>
      <c r="F9" s="41"/>
      <c r="G9" s="41"/>
    </row>
    <row r="10" spans="1:8" ht="75" x14ac:dyDescent="0.25">
      <c r="A10" s="39" t="s">
        <v>1078</v>
      </c>
      <c r="B10" s="40" t="s">
        <v>1073</v>
      </c>
      <c r="C10" s="40"/>
      <c r="D10" s="39" t="s">
        <v>1303</v>
      </c>
      <c r="E10" s="42">
        <f>E11</f>
        <v>7.5650000000000004</v>
      </c>
      <c r="F10" s="42">
        <f>F11</f>
        <v>10.718</v>
      </c>
      <c r="G10" s="42">
        <f>G11</f>
        <v>0</v>
      </c>
      <c r="H10" s="3" t="s">
        <v>143</v>
      </c>
    </row>
    <row r="11" spans="1:8" ht="45" customHeight="1" x14ac:dyDescent="0.25">
      <c r="A11" s="6"/>
      <c r="B11" s="20" t="s">
        <v>1074</v>
      </c>
      <c r="C11" s="6" t="s">
        <v>1075</v>
      </c>
      <c r="D11" s="6" t="s">
        <v>1303</v>
      </c>
      <c r="E11" s="37">
        <f>0.112+7.453</f>
        <v>7.5650000000000004</v>
      </c>
      <c r="F11" s="37">
        <v>10.718</v>
      </c>
      <c r="G11" s="37"/>
    </row>
    <row r="12" spans="1:8" ht="60" x14ac:dyDescent="0.25">
      <c r="A12" s="39" t="s">
        <v>1079</v>
      </c>
      <c r="B12" s="40" t="s">
        <v>1077</v>
      </c>
      <c r="C12" s="39"/>
      <c r="D12" s="39"/>
      <c r="E12" s="47"/>
      <c r="F12" s="47"/>
      <c r="G12" s="47"/>
      <c r="H12" s="3" t="s">
        <v>24</v>
      </c>
    </row>
    <row r="13" spans="1:8" ht="30" x14ac:dyDescent="0.25">
      <c r="A13" s="39"/>
      <c r="B13" s="40" t="s">
        <v>186</v>
      </c>
      <c r="C13" s="39" t="s">
        <v>1080</v>
      </c>
      <c r="D13" s="39" t="s">
        <v>1303</v>
      </c>
      <c r="E13" s="39">
        <v>62.401000000000003</v>
      </c>
      <c r="F13" s="39">
        <v>62.401000000000003</v>
      </c>
      <c r="G13" s="39"/>
    </row>
    <row r="14" spans="1:8" ht="30" x14ac:dyDescent="0.25">
      <c r="A14" s="39"/>
      <c r="B14" s="40" t="s">
        <v>1304</v>
      </c>
      <c r="C14" s="39" t="s">
        <v>1081</v>
      </c>
      <c r="D14" s="39" t="s">
        <v>1303</v>
      </c>
      <c r="E14" s="39">
        <v>15.874000000000001</v>
      </c>
      <c r="F14" s="39">
        <v>15.874000000000001</v>
      </c>
      <c r="G14" s="39"/>
    </row>
    <row r="15" spans="1:8" ht="30" x14ac:dyDescent="0.25">
      <c r="A15" s="52"/>
      <c r="B15" s="40" t="s">
        <v>1305</v>
      </c>
      <c r="C15" s="39" t="s">
        <v>1082</v>
      </c>
      <c r="D15" s="39" t="s">
        <v>1303</v>
      </c>
      <c r="E15" s="39">
        <v>10.478999999999999</v>
      </c>
      <c r="F15" s="39">
        <v>10.478999999999999</v>
      </c>
      <c r="G15" s="39"/>
    </row>
    <row r="16" spans="1:8" ht="30" x14ac:dyDescent="0.25">
      <c r="A16" s="52"/>
      <c r="B16" s="40" t="s">
        <v>1306</v>
      </c>
      <c r="C16" s="39" t="s">
        <v>1083</v>
      </c>
      <c r="D16" s="39" t="s">
        <v>1303</v>
      </c>
      <c r="E16" s="39">
        <v>37.991</v>
      </c>
      <c r="F16" s="39">
        <v>37.991</v>
      </c>
      <c r="G16" s="39"/>
    </row>
    <row r="17" spans="1:8" ht="45" x14ac:dyDescent="0.25">
      <c r="A17" s="39" t="s">
        <v>1087</v>
      </c>
      <c r="B17" s="40" t="s">
        <v>1084</v>
      </c>
      <c r="C17" s="39"/>
      <c r="D17" s="39" t="s">
        <v>9</v>
      </c>
      <c r="E17" s="42">
        <f>E18/E19*100</f>
        <v>9.7452683888237299</v>
      </c>
      <c r="F17" s="42">
        <f>F18/F19*100</f>
        <v>9.7452683888237299</v>
      </c>
      <c r="G17" s="42" t="e">
        <f>G18/G19*100</f>
        <v>#DIV/0!</v>
      </c>
      <c r="H17" s="3" t="s">
        <v>24</v>
      </c>
    </row>
    <row r="18" spans="1:8" ht="45" x14ac:dyDescent="0.25">
      <c r="A18" s="31"/>
      <c r="B18" s="20" t="s">
        <v>1085</v>
      </c>
      <c r="C18" s="6" t="s">
        <v>1080</v>
      </c>
      <c r="D18" s="6" t="s">
        <v>1076</v>
      </c>
      <c r="E18" s="11">
        <v>62401</v>
      </c>
      <c r="F18" s="11">
        <v>62401</v>
      </c>
      <c r="G18" s="11"/>
    </row>
    <row r="19" spans="1:8" ht="30" x14ac:dyDescent="0.25">
      <c r="A19" s="31"/>
      <c r="B19" s="20" t="s">
        <v>1086</v>
      </c>
      <c r="C19" s="6" t="s">
        <v>1007</v>
      </c>
      <c r="D19" s="6" t="s">
        <v>1076</v>
      </c>
      <c r="E19" s="11">
        <v>640321</v>
      </c>
      <c r="F19" s="11">
        <v>640321</v>
      </c>
      <c r="G19" s="11"/>
    </row>
    <row r="20" spans="1:8" ht="30" x14ac:dyDescent="0.25">
      <c r="A20" s="44" t="s">
        <v>1088</v>
      </c>
      <c r="B20" s="45" t="s">
        <v>1089</v>
      </c>
      <c r="C20" s="41"/>
      <c r="D20" s="39"/>
      <c r="E20" s="46"/>
      <c r="F20" s="46"/>
      <c r="G20" s="46"/>
    </row>
    <row r="21" spans="1:8" ht="60" x14ac:dyDescent="0.25">
      <c r="A21" s="39" t="s">
        <v>1091</v>
      </c>
      <c r="B21" s="40" t="s">
        <v>1090</v>
      </c>
      <c r="C21" s="41"/>
      <c r="D21" s="39" t="s">
        <v>9</v>
      </c>
      <c r="E21" s="42">
        <f>E22/E23*100</f>
        <v>40.691553101989207</v>
      </c>
      <c r="F21" s="42">
        <f>F22/F23*100</f>
        <v>40.691553101989207</v>
      </c>
      <c r="G21" s="42" t="e">
        <f>G22/G23*100</f>
        <v>#DIV/0!</v>
      </c>
      <c r="H21" s="3" t="s">
        <v>24</v>
      </c>
    </row>
    <row r="22" spans="1:8" ht="60" x14ac:dyDescent="0.25">
      <c r="A22" s="6"/>
      <c r="B22" s="20" t="s">
        <v>1092</v>
      </c>
      <c r="C22" s="6" t="s">
        <v>1093</v>
      </c>
      <c r="D22" s="6" t="s">
        <v>1076</v>
      </c>
      <c r="E22" s="113">
        <v>49238</v>
      </c>
      <c r="F22" s="113">
        <v>49238</v>
      </c>
      <c r="G22" s="113"/>
      <c r="H22" s="3"/>
    </row>
    <row r="23" spans="1:8" ht="60" x14ac:dyDescent="0.25">
      <c r="A23" s="6"/>
      <c r="B23" s="20" t="s">
        <v>1094</v>
      </c>
      <c r="C23" s="6" t="s">
        <v>1014</v>
      </c>
      <c r="D23" s="6" t="s">
        <v>1076</v>
      </c>
      <c r="E23" s="113">
        <v>121003</v>
      </c>
      <c r="F23" s="113">
        <v>121003</v>
      </c>
      <c r="G23" s="113"/>
      <c r="H23" s="3"/>
    </row>
    <row r="24" spans="1:8" ht="45" x14ac:dyDescent="0.25">
      <c r="A24" s="53" t="s">
        <v>1095</v>
      </c>
      <c r="B24" s="54" t="s">
        <v>1096</v>
      </c>
      <c r="C24" s="55"/>
      <c r="D24" s="55"/>
      <c r="E24" s="55"/>
      <c r="F24" s="55"/>
      <c r="G24" s="55"/>
    </row>
    <row r="25" spans="1:8" ht="75" x14ac:dyDescent="0.25">
      <c r="A25" s="56" t="s">
        <v>1098</v>
      </c>
      <c r="B25" s="57" t="s">
        <v>1097</v>
      </c>
      <c r="C25" s="55"/>
      <c r="D25" s="56" t="s">
        <v>9</v>
      </c>
      <c r="E25" s="48" t="e">
        <f>E26/E27*100</f>
        <v>#DIV/0!</v>
      </c>
      <c r="F25" s="48" t="e">
        <f>F26/F27*100</f>
        <v>#DIV/0!</v>
      </c>
      <c r="G25" s="48" t="e">
        <f>G26/G27*100</f>
        <v>#DIV/0!</v>
      </c>
      <c r="H25" s="3" t="s">
        <v>286</v>
      </c>
    </row>
    <row r="26" spans="1:8" ht="75" x14ac:dyDescent="0.25">
      <c r="A26" s="35"/>
      <c r="B26" s="60" t="s">
        <v>1099</v>
      </c>
      <c r="C26" s="35" t="s">
        <v>147</v>
      </c>
      <c r="D26" s="35" t="s">
        <v>1076</v>
      </c>
      <c r="E26" s="36"/>
      <c r="F26" s="36"/>
      <c r="G26" s="36"/>
      <c r="H26" s="3"/>
    </row>
    <row r="27" spans="1:8" ht="60" x14ac:dyDescent="0.25">
      <c r="A27" s="35"/>
      <c r="B27" s="60" t="s">
        <v>1100</v>
      </c>
      <c r="C27" s="35" t="s">
        <v>147</v>
      </c>
      <c r="D27" s="35" t="s">
        <v>1076</v>
      </c>
      <c r="E27" s="36"/>
      <c r="F27" s="36"/>
      <c r="G27" s="36"/>
      <c r="H27" s="3"/>
    </row>
    <row r="28" spans="1:8" ht="45" x14ac:dyDescent="0.25">
      <c r="A28" s="53" t="s">
        <v>1101</v>
      </c>
      <c r="B28" s="54" t="s">
        <v>1102</v>
      </c>
      <c r="C28" s="55"/>
      <c r="D28" s="56"/>
      <c r="E28" s="55"/>
      <c r="F28" s="55"/>
      <c r="G28" s="55"/>
    </row>
    <row r="29" spans="1:8" ht="60" x14ac:dyDescent="0.25">
      <c r="A29" s="56" t="s">
        <v>1104</v>
      </c>
      <c r="B29" s="57" t="s">
        <v>1103</v>
      </c>
      <c r="C29" s="55"/>
      <c r="D29" s="56" t="s">
        <v>9</v>
      </c>
      <c r="E29" s="48" t="e">
        <f>E30/E31*100</f>
        <v>#DIV/0!</v>
      </c>
      <c r="F29" s="48" t="e">
        <f>F30/F31*100</f>
        <v>#DIV/0!</v>
      </c>
      <c r="G29" s="48" t="e">
        <f>G30/G31*100</f>
        <v>#DIV/0!</v>
      </c>
      <c r="H29" s="3" t="s">
        <v>286</v>
      </c>
    </row>
    <row r="30" spans="1:8" ht="60" x14ac:dyDescent="0.25">
      <c r="A30" s="35"/>
      <c r="B30" s="60" t="s">
        <v>1105</v>
      </c>
      <c r="C30" s="35" t="s">
        <v>147</v>
      </c>
      <c r="D30" s="35" t="s">
        <v>1270</v>
      </c>
      <c r="E30" s="36"/>
      <c r="F30" s="36"/>
      <c r="G30" s="36"/>
      <c r="H30" s="19"/>
    </row>
    <row r="31" spans="1:8" ht="45" x14ac:dyDescent="0.25">
      <c r="A31" s="35"/>
      <c r="B31" s="60" t="s">
        <v>1106</v>
      </c>
      <c r="C31" s="35" t="s">
        <v>147</v>
      </c>
      <c r="D31" s="35" t="s">
        <v>1270</v>
      </c>
      <c r="E31" s="36"/>
      <c r="F31" s="36"/>
      <c r="G31" s="36"/>
    </row>
    <row r="32" spans="1:8" ht="30" x14ac:dyDescent="0.25">
      <c r="A32" s="53" t="s">
        <v>1107</v>
      </c>
      <c r="B32" s="54" t="s">
        <v>1108</v>
      </c>
      <c r="C32" s="55"/>
      <c r="D32" s="55"/>
      <c r="E32" s="55"/>
      <c r="F32" s="55"/>
      <c r="G32" s="55"/>
    </row>
    <row r="33" spans="1:8" ht="60" x14ac:dyDescent="0.25">
      <c r="A33" s="56" t="s">
        <v>1109</v>
      </c>
      <c r="B33" s="57" t="s">
        <v>1110</v>
      </c>
      <c r="C33" s="55"/>
      <c r="D33" s="56" t="s">
        <v>9</v>
      </c>
      <c r="E33" s="48" t="e">
        <f>(E34+E35)/E36*100</f>
        <v>#DIV/0!</v>
      </c>
      <c r="F33" s="48" t="e">
        <f>(F34+F35)/F36*100</f>
        <v>#DIV/0!</v>
      </c>
      <c r="G33" s="48" t="e">
        <f>(G34+G35)/G36*100</f>
        <v>#DIV/0!</v>
      </c>
      <c r="H33" s="3" t="s">
        <v>24</v>
      </c>
    </row>
    <row r="34" spans="1:8" ht="45" x14ac:dyDescent="0.25">
      <c r="A34" s="35"/>
      <c r="B34" s="60" t="s">
        <v>1111</v>
      </c>
      <c r="C34" s="35" t="s">
        <v>1112</v>
      </c>
      <c r="D34" s="35" t="s">
        <v>1076</v>
      </c>
      <c r="E34" s="36">
        <v>0</v>
      </c>
      <c r="F34" s="36">
        <v>0</v>
      </c>
      <c r="G34" s="36"/>
      <c r="H34" s="3"/>
    </row>
    <row r="35" spans="1:8" ht="30" x14ac:dyDescent="0.25">
      <c r="A35" s="35"/>
      <c r="B35" s="60" t="s">
        <v>1113</v>
      </c>
      <c r="C35" s="35" t="s">
        <v>1114</v>
      </c>
      <c r="D35" s="35" t="s">
        <v>1076</v>
      </c>
      <c r="E35" s="36">
        <v>0</v>
      </c>
      <c r="F35" s="36">
        <v>0</v>
      </c>
      <c r="G35" s="36"/>
      <c r="H35" s="3"/>
    </row>
    <row r="36" spans="1:8" ht="45" x14ac:dyDescent="0.25">
      <c r="A36" s="35"/>
      <c r="B36" s="60" t="s">
        <v>1115</v>
      </c>
      <c r="C36" s="35" t="s">
        <v>1014</v>
      </c>
      <c r="D36" s="35" t="s">
        <v>1076</v>
      </c>
      <c r="E36" s="36">
        <v>0</v>
      </c>
      <c r="F36" s="36">
        <v>0</v>
      </c>
      <c r="G36" s="36"/>
      <c r="H36" s="3"/>
    </row>
    <row r="37" spans="1:8" ht="30" x14ac:dyDescent="0.25">
      <c r="A37" s="53" t="s">
        <v>1117</v>
      </c>
      <c r="B37" s="54" t="s">
        <v>1116</v>
      </c>
      <c r="C37" s="55"/>
      <c r="D37" s="55"/>
      <c r="E37" s="55"/>
      <c r="F37" s="55"/>
      <c r="G37" s="55"/>
    </row>
    <row r="38" spans="1:8" ht="60" x14ac:dyDescent="0.25">
      <c r="A38" s="56" t="s">
        <v>1119</v>
      </c>
      <c r="B38" s="57" t="s">
        <v>1118</v>
      </c>
      <c r="C38" s="56"/>
      <c r="D38" s="56" t="s">
        <v>9</v>
      </c>
      <c r="E38" s="48" t="e">
        <f>E39/E40*100</f>
        <v>#DIV/0!</v>
      </c>
      <c r="F38" s="48" t="e">
        <f>F39/F40*100</f>
        <v>#DIV/0!</v>
      </c>
      <c r="G38" s="48" t="e">
        <f>G39/G40*100</f>
        <v>#DIV/0!</v>
      </c>
      <c r="H38" s="3" t="s">
        <v>46</v>
      </c>
    </row>
    <row r="39" spans="1:8" ht="60" x14ac:dyDescent="0.25">
      <c r="A39" s="61"/>
      <c r="B39" s="60" t="s">
        <v>1120</v>
      </c>
      <c r="C39" s="35" t="s">
        <v>542</v>
      </c>
      <c r="D39" s="35" t="s">
        <v>1076</v>
      </c>
      <c r="E39" s="36"/>
      <c r="F39" s="36"/>
      <c r="G39" s="36"/>
    </row>
    <row r="40" spans="1:8" ht="60" x14ac:dyDescent="0.25">
      <c r="A40" s="61"/>
      <c r="B40" s="60" t="s">
        <v>1121</v>
      </c>
      <c r="C40" s="35" t="s">
        <v>542</v>
      </c>
      <c r="D40" s="35" t="s">
        <v>1076</v>
      </c>
      <c r="E40" s="36"/>
      <c r="F40" s="36"/>
      <c r="G40" s="36"/>
    </row>
    <row r="41" spans="1:8" ht="60" x14ac:dyDescent="0.25">
      <c r="A41" s="53" t="s">
        <v>1123</v>
      </c>
      <c r="B41" s="54" t="s">
        <v>1122</v>
      </c>
      <c r="C41" s="55"/>
      <c r="D41" s="55"/>
      <c r="E41" s="55"/>
      <c r="F41" s="55"/>
      <c r="G41" s="55"/>
    </row>
    <row r="42" spans="1:8" ht="105" x14ac:dyDescent="0.25">
      <c r="A42" s="56" t="s">
        <v>1125</v>
      </c>
      <c r="B42" s="57" t="s">
        <v>1124</v>
      </c>
      <c r="C42" s="56"/>
      <c r="D42" s="56"/>
      <c r="E42" s="48"/>
      <c r="F42" s="48"/>
      <c r="G42" s="48"/>
      <c r="H42" s="3" t="s">
        <v>286</v>
      </c>
    </row>
    <row r="43" spans="1:8" ht="30" x14ac:dyDescent="0.25">
      <c r="A43" s="56"/>
      <c r="B43" s="57" t="s">
        <v>1309</v>
      </c>
      <c r="C43" s="56" t="s">
        <v>147</v>
      </c>
      <c r="D43" s="56" t="s">
        <v>1268</v>
      </c>
      <c r="E43" s="48"/>
      <c r="F43" s="48"/>
      <c r="G43" s="48"/>
      <c r="H43" s="3"/>
    </row>
    <row r="44" spans="1:8" ht="30" x14ac:dyDescent="0.25">
      <c r="A44" s="56"/>
      <c r="B44" s="57" t="s">
        <v>553</v>
      </c>
      <c r="C44" s="56" t="s">
        <v>147</v>
      </c>
      <c r="D44" s="56" t="s">
        <v>1268</v>
      </c>
      <c r="E44" s="48"/>
      <c r="F44" s="48"/>
      <c r="G44" s="48"/>
      <c r="H44" s="3"/>
    </row>
    <row r="45" spans="1:8" ht="30" x14ac:dyDescent="0.25">
      <c r="A45" s="56"/>
      <c r="B45" s="57" t="s">
        <v>1308</v>
      </c>
      <c r="C45" s="56" t="s">
        <v>147</v>
      </c>
      <c r="D45" s="56" t="s">
        <v>1268</v>
      </c>
      <c r="E45" s="48"/>
      <c r="F45" s="48"/>
      <c r="G45" s="48"/>
      <c r="H45" s="3"/>
    </row>
    <row r="46" spans="1:8" ht="30" x14ac:dyDescent="0.25">
      <c r="A46" s="56"/>
      <c r="B46" s="57" t="s">
        <v>1307</v>
      </c>
      <c r="C46" s="56" t="s">
        <v>147</v>
      </c>
      <c r="D46" s="56" t="s">
        <v>1268</v>
      </c>
      <c r="E46" s="48"/>
      <c r="F46" s="48"/>
      <c r="G46" s="48"/>
      <c r="H46" s="3"/>
    </row>
    <row r="47" spans="1:8" ht="30" x14ac:dyDescent="0.25">
      <c r="A47" s="56"/>
      <c r="B47" s="57" t="s">
        <v>1038</v>
      </c>
      <c r="C47" s="56" t="s">
        <v>147</v>
      </c>
      <c r="D47" s="56" t="s">
        <v>1268</v>
      </c>
      <c r="E47" s="69"/>
      <c r="F47" s="69"/>
      <c r="G47" s="69"/>
      <c r="H47" s="3"/>
    </row>
    <row r="48" spans="1:8" ht="30" x14ac:dyDescent="0.25">
      <c r="A48" s="56"/>
      <c r="B48" s="57" t="s">
        <v>1310</v>
      </c>
      <c r="C48" s="56" t="s">
        <v>147</v>
      </c>
      <c r="D48" s="56" t="s">
        <v>1268</v>
      </c>
      <c r="E48" s="69"/>
      <c r="F48" s="69"/>
      <c r="G48" s="69"/>
      <c r="H48" s="3"/>
    </row>
    <row r="49" spans="1:8" ht="45" x14ac:dyDescent="0.25">
      <c r="A49" s="53" t="s">
        <v>1127</v>
      </c>
      <c r="B49" s="54" t="s">
        <v>1126</v>
      </c>
      <c r="C49" s="55"/>
      <c r="D49" s="55"/>
      <c r="E49" s="55"/>
      <c r="F49" s="55"/>
      <c r="G49" s="55"/>
    </row>
    <row r="50" spans="1:8" ht="60" x14ac:dyDescent="0.25">
      <c r="A50" s="56" t="s">
        <v>1129</v>
      </c>
      <c r="B50" s="57" t="s">
        <v>1128</v>
      </c>
      <c r="C50" s="55"/>
      <c r="D50" s="56"/>
      <c r="E50" s="48"/>
      <c r="F50" s="48"/>
      <c r="G50" s="48"/>
      <c r="H50" s="3" t="s">
        <v>106</v>
      </c>
    </row>
    <row r="51" spans="1:8" x14ac:dyDescent="0.25">
      <c r="A51" s="61"/>
      <c r="B51" s="60" t="s">
        <v>1130</v>
      </c>
      <c r="C51" s="35"/>
      <c r="D51" s="59" t="s">
        <v>9</v>
      </c>
      <c r="E51" s="38" t="e">
        <f>E53/E55*100</f>
        <v>#DIV/0!</v>
      </c>
      <c r="F51" s="38" t="e">
        <f>F53/F55*100</f>
        <v>#DIV/0!</v>
      </c>
      <c r="G51" s="38" t="e">
        <f>G53/G55*100</f>
        <v>#DIV/0!</v>
      </c>
    </row>
    <row r="52" spans="1:8" x14ac:dyDescent="0.25">
      <c r="A52" s="61"/>
      <c r="B52" s="58" t="s">
        <v>1311</v>
      </c>
      <c r="C52" s="35"/>
      <c r="D52" s="59" t="s">
        <v>9</v>
      </c>
      <c r="E52" s="38" t="e">
        <f>E54/E55*100</f>
        <v>#DIV/0!</v>
      </c>
      <c r="F52" s="38" t="e">
        <f>F54/F55*100</f>
        <v>#DIV/0!</v>
      </c>
      <c r="G52" s="38" t="e">
        <f>G54/G55*100</f>
        <v>#DIV/0!</v>
      </c>
    </row>
    <row r="53" spans="1:8" ht="60" x14ac:dyDescent="0.25">
      <c r="A53" s="61"/>
      <c r="B53" s="60" t="s">
        <v>1131</v>
      </c>
      <c r="C53" s="35" t="s">
        <v>147</v>
      </c>
      <c r="D53" s="59" t="s">
        <v>1270</v>
      </c>
      <c r="E53" s="36"/>
      <c r="F53" s="36"/>
      <c r="G53" s="36"/>
    </row>
    <row r="54" spans="1:8" ht="60" x14ac:dyDescent="0.25">
      <c r="A54" s="61"/>
      <c r="B54" s="60" t="s">
        <v>1132</v>
      </c>
      <c r="C54" s="35" t="s">
        <v>147</v>
      </c>
      <c r="D54" s="59" t="s">
        <v>1270</v>
      </c>
      <c r="E54" s="36"/>
      <c r="F54" s="36"/>
      <c r="G54" s="36"/>
    </row>
    <row r="55" spans="1:8" ht="60" x14ac:dyDescent="0.25">
      <c r="A55" s="61"/>
      <c r="B55" s="60" t="s">
        <v>1133</v>
      </c>
      <c r="C55" s="35" t="s">
        <v>147</v>
      </c>
      <c r="D55" s="59" t="s">
        <v>1270</v>
      </c>
      <c r="E55" s="36"/>
      <c r="F55" s="36"/>
      <c r="G55" s="36"/>
    </row>
    <row r="56" spans="1:8" ht="30" x14ac:dyDescent="0.25">
      <c r="A56" s="53" t="s">
        <v>1134</v>
      </c>
      <c r="B56" s="54" t="s">
        <v>1135</v>
      </c>
      <c r="C56" s="55"/>
      <c r="D56" s="55"/>
      <c r="E56" s="55"/>
      <c r="F56" s="55"/>
      <c r="G56" s="55"/>
    </row>
    <row r="57" spans="1:8" ht="75" x14ac:dyDescent="0.25">
      <c r="A57" s="56" t="s">
        <v>1137</v>
      </c>
      <c r="B57" s="57" t="s">
        <v>1136</v>
      </c>
      <c r="C57" s="55"/>
      <c r="D57" s="56" t="s">
        <v>9</v>
      </c>
      <c r="E57" s="48" t="e">
        <f>E58/E59*100</f>
        <v>#DIV/0!</v>
      </c>
      <c r="F57" s="48" t="e">
        <f>F58/F59*100</f>
        <v>#DIV/0!</v>
      </c>
      <c r="G57" s="48" t="e">
        <f>G58/G59*100</f>
        <v>#DIV/0!</v>
      </c>
      <c r="H57" s="3" t="s">
        <v>106</v>
      </c>
    </row>
    <row r="58" spans="1:8" ht="45" x14ac:dyDescent="0.25">
      <c r="A58" s="35"/>
      <c r="B58" s="60" t="s">
        <v>1138</v>
      </c>
      <c r="C58" s="35" t="s">
        <v>147</v>
      </c>
      <c r="D58" s="59" t="s">
        <v>1076</v>
      </c>
      <c r="E58" s="36"/>
      <c r="F58" s="36"/>
      <c r="G58" s="36"/>
      <c r="H58" s="3"/>
    </row>
    <row r="59" spans="1:8" ht="45" x14ac:dyDescent="0.25">
      <c r="A59" s="35"/>
      <c r="B59" s="60" t="s">
        <v>1139</v>
      </c>
      <c r="C59" s="35" t="s">
        <v>147</v>
      </c>
      <c r="D59" s="59" t="s">
        <v>1076</v>
      </c>
      <c r="E59" s="36"/>
      <c r="F59" s="36"/>
      <c r="G59" s="36"/>
      <c r="H59" s="3"/>
    </row>
  </sheetData>
  <mergeCells count="4">
    <mergeCell ref="A3:G3"/>
    <mergeCell ref="A4:G4"/>
    <mergeCell ref="A7:G7"/>
    <mergeCell ref="A8:G8"/>
  </mergeCells>
  <pageMargins left="0.7" right="0.7" top="0.75" bottom="0.75" header="0.3" footer="0.3"/>
  <pageSetup paperSize="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3:K125"/>
  <sheetViews>
    <sheetView topLeftCell="A4" zoomScaleNormal="100" zoomScaleSheetLayoutView="100" workbookViewId="0">
      <selection activeCell="J85" sqref="J85:J86"/>
    </sheetView>
  </sheetViews>
  <sheetFormatPr defaultRowHeight="15" x14ac:dyDescent="0.25"/>
  <cols>
    <col min="2" max="2" width="75.140625" customWidth="1"/>
    <col min="3" max="3" width="20.140625" customWidth="1"/>
    <col min="4" max="4" width="16.140625" customWidth="1"/>
    <col min="5" max="9" width="12.42578125" customWidth="1"/>
    <col min="10" max="10" width="13.42578125" customWidth="1"/>
    <col min="11" max="11" width="41.85546875" customWidth="1"/>
  </cols>
  <sheetData>
    <row r="3" spans="1:11" ht="18.75" x14ac:dyDescent="0.3">
      <c r="A3" s="440" t="s">
        <v>0</v>
      </c>
      <c r="B3" s="440"/>
      <c r="C3" s="440"/>
      <c r="D3" s="440"/>
      <c r="E3" s="440"/>
      <c r="F3" s="440"/>
      <c r="G3" s="440"/>
      <c r="H3" s="150"/>
      <c r="I3" s="146"/>
      <c r="J3" s="155"/>
      <c r="K3" s="12"/>
    </row>
    <row r="4" spans="1:11" ht="18.75" x14ac:dyDescent="0.3">
      <c r="A4" s="440" t="s">
        <v>1</v>
      </c>
      <c r="B4" s="440"/>
      <c r="C4" s="440"/>
      <c r="D4" s="440"/>
      <c r="E4" s="440"/>
      <c r="F4" s="440"/>
      <c r="G4" s="440"/>
      <c r="H4" s="150"/>
      <c r="I4" s="146"/>
      <c r="J4" s="155"/>
      <c r="K4" s="23"/>
    </row>
    <row r="5" spans="1:11" x14ac:dyDescent="0.25">
      <c r="A5" s="1"/>
      <c r="B5" s="1"/>
      <c r="C5" s="1"/>
      <c r="D5" s="1"/>
      <c r="E5" s="1"/>
      <c r="F5" s="1"/>
      <c r="G5" s="1"/>
      <c r="H5" s="1"/>
      <c r="I5" s="1"/>
      <c r="J5" s="1"/>
      <c r="K5" s="1"/>
    </row>
    <row r="6" spans="1:11" ht="45" x14ac:dyDescent="0.25">
      <c r="A6" s="4" t="s">
        <v>6</v>
      </c>
      <c r="B6" s="4" t="s">
        <v>380</v>
      </c>
      <c r="C6" s="5" t="s">
        <v>10</v>
      </c>
      <c r="D6" s="5" t="s">
        <v>11</v>
      </c>
      <c r="E6" s="5" t="s">
        <v>1494</v>
      </c>
      <c r="F6" s="5" t="s">
        <v>1495</v>
      </c>
      <c r="G6" s="5" t="s">
        <v>1516</v>
      </c>
      <c r="H6" s="5" t="s">
        <v>1583</v>
      </c>
      <c r="I6" s="366" t="s">
        <v>1584</v>
      </c>
      <c r="J6" s="5" t="s">
        <v>1743</v>
      </c>
      <c r="K6" s="2" t="s">
        <v>12</v>
      </c>
    </row>
    <row r="7" spans="1:11" x14ac:dyDescent="0.25">
      <c r="A7" s="450" t="s">
        <v>1141</v>
      </c>
      <c r="B7" s="451"/>
      <c r="C7" s="451"/>
      <c r="D7" s="451"/>
      <c r="E7" s="451"/>
      <c r="F7" s="451"/>
      <c r="G7" s="451"/>
      <c r="H7" s="451"/>
      <c r="I7" s="451"/>
      <c r="J7" s="154"/>
    </row>
    <row r="8" spans="1:11" hidden="1" x14ac:dyDescent="0.25">
      <c r="A8" s="439" t="s">
        <v>1142</v>
      </c>
      <c r="B8" s="439"/>
      <c r="C8" s="439"/>
      <c r="D8" s="439"/>
      <c r="E8" s="439"/>
      <c r="F8" s="439"/>
      <c r="G8" s="439"/>
      <c r="H8" s="147"/>
      <c r="I8" s="147"/>
      <c r="J8" s="154"/>
    </row>
    <row r="9" spans="1:11" ht="30" hidden="1" x14ac:dyDescent="0.25">
      <c r="A9" s="117" t="s">
        <v>1143</v>
      </c>
      <c r="B9" s="118" t="s">
        <v>1144</v>
      </c>
      <c r="C9" s="98"/>
      <c r="D9" s="115"/>
      <c r="E9" s="115"/>
      <c r="F9" s="115"/>
      <c r="G9" s="115"/>
      <c r="H9" s="115"/>
      <c r="I9" s="367"/>
      <c r="J9" s="115"/>
    </row>
    <row r="10" spans="1:11" ht="30" hidden="1" x14ac:dyDescent="0.25">
      <c r="A10" s="79" t="s">
        <v>1147</v>
      </c>
      <c r="B10" s="98" t="s">
        <v>1146</v>
      </c>
      <c r="C10" s="98"/>
      <c r="D10" s="79" t="s">
        <v>9</v>
      </c>
      <c r="E10" s="76">
        <v>13.9</v>
      </c>
      <c r="F10" s="76">
        <v>3.3</v>
      </c>
      <c r="G10" s="76"/>
      <c r="H10" s="76"/>
      <c r="I10" s="368"/>
      <c r="J10" s="76"/>
      <c r="K10" s="3" t="s">
        <v>46</v>
      </c>
    </row>
    <row r="11" spans="1:11" ht="30" hidden="1" x14ac:dyDescent="0.25">
      <c r="A11" s="6"/>
      <c r="B11" s="20" t="s">
        <v>1148</v>
      </c>
      <c r="C11" s="6" t="s">
        <v>1149</v>
      </c>
      <c r="D11" s="6" t="s">
        <v>1270</v>
      </c>
      <c r="E11" s="6"/>
      <c r="F11" s="6"/>
      <c r="G11" s="6"/>
      <c r="H11" s="6"/>
      <c r="I11" s="369"/>
      <c r="J11" s="6"/>
    </row>
    <row r="12" spans="1:11" ht="30" hidden="1" x14ac:dyDescent="0.25">
      <c r="A12" s="6"/>
      <c r="B12" s="20" t="s">
        <v>1150</v>
      </c>
      <c r="C12" s="6" t="s">
        <v>1151</v>
      </c>
      <c r="D12" s="6" t="s">
        <v>1270</v>
      </c>
      <c r="E12" s="6"/>
      <c r="F12" s="6"/>
      <c r="G12" s="6"/>
      <c r="H12" s="6"/>
      <c r="I12" s="369"/>
      <c r="J12" s="6"/>
    </row>
    <row r="13" spans="1:11" ht="30" hidden="1" x14ac:dyDescent="0.25">
      <c r="A13" s="53" t="s">
        <v>1312</v>
      </c>
      <c r="B13" s="54" t="s">
        <v>1152</v>
      </c>
      <c r="C13" s="56"/>
      <c r="D13" s="56"/>
      <c r="E13" s="48"/>
      <c r="F13" s="48"/>
      <c r="G13" s="48"/>
      <c r="H13" s="48"/>
      <c r="I13" s="370"/>
      <c r="J13" s="48"/>
      <c r="K13" s="3" t="s">
        <v>106</v>
      </c>
    </row>
    <row r="14" spans="1:11" ht="90" hidden="1" x14ac:dyDescent="0.25">
      <c r="A14" s="56" t="s">
        <v>1313</v>
      </c>
      <c r="B14" s="57" t="s">
        <v>1154</v>
      </c>
      <c r="C14" s="56"/>
      <c r="D14" s="56"/>
      <c r="E14" s="48"/>
      <c r="F14" s="48"/>
      <c r="G14" s="48"/>
      <c r="H14" s="48"/>
      <c r="I14" s="370"/>
      <c r="J14" s="48"/>
    </row>
    <row r="15" spans="1:11" ht="30" hidden="1" x14ac:dyDescent="0.25">
      <c r="A15" s="35"/>
      <c r="B15" s="60" t="s">
        <v>1153</v>
      </c>
      <c r="C15" s="35"/>
      <c r="D15" s="35" t="s">
        <v>9</v>
      </c>
      <c r="E15" s="38" t="e">
        <f t="shared" ref="E15:F17" si="0">E19/E23*100</f>
        <v>#DIV/0!</v>
      </c>
      <c r="F15" s="38" t="e">
        <f t="shared" si="0"/>
        <v>#DIV/0!</v>
      </c>
      <c r="G15" s="38" t="e">
        <f t="shared" ref="G15" si="1">G19/G23*100</f>
        <v>#DIV/0!</v>
      </c>
      <c r="H15" s="38"/>
      <c r="I15" s="371"/>
      <c r="J15" s="38"/>
    </row>
    <row r="16" spans="1:11" hidden="1" x14ac:dyDescent="0.25">
      <c r="A16" s="35"/>
      <c r="B16" s="60" t="s">
        <v>1155</v>
      </c>
      <c r="C16" s="35"/>
      <c r="D16" s="35" t="s">
        <v>9</v>
      </c>
      <c r="E16" s="38" t="e">
        <f t="shared" si="0"/>
        <v>#DIV/0!</v>
      </c>
      <c r="F16" s="38" t="e">
        <f t="shared" si="0"/>
        <v>#DIV/0!</v>
      </c>
      <c r="G16" s="38" t="e">
        <f t="shared" ref="G16" si="2">G20/G24*100</f>
        <v>#DIV/0!</v>
      </c>
      <c r="H16" s="38"/>
      <c r="I16" s="371"/>
      <c r="J16" s="38"/>
    </row>
    <row r="17" spans="1:11" hidden="1" x14ac:dyDescent="0.25">
      <c r="A17" s="35"/>
      <c r="B17" s="60" t="s">
        <v>1156</v>
      </c>
      <c r="C17" s="35"/>
      <c r="D17" s="35" t="s">
        <v>9</v>
      </c>
      <c r="E17" s="38" t="e">
        <f t="shared" si="0"/>
        <v>#DIV/0!</v>
      </c>
      <c r="F17" s="38" t="e">
        <f t="shared" si="0"/>
        <v>#DIV/0!</v>
      </c>
      <c r="G17" s="38" t="e">
        <f t="shared" ref="G17" si="3">G21/G25*100</f>
        <v>#DIV/0!</v>
      </c>
      <c r="H17" s="38"/>
      <c r="I17" s="371"/>
      <c r="J17" s="38"/>
    </row>
    <row r="18" spans="1:11" ht="105" hidden="1" x14ac:dyDescent="0.25">
      <c r="A18" s="35"/>
      <c r="B18" s="60" t="s">
        <v>1160</v>
      </c>
      <c r="C18" s="35" t="s">
        <v>994</v>
      </c>
      <c r="D18" s="35"/>
      <c r="E18" s="38"/>
      <c r="F18" s="38"/>
      <c r="G18" s="38"/>
      <c r="H18" s="38"/>
      <c r="I18" s="371"/>
      <c r="J18" s="38"/>
    </row>
    <row r="19" spans="1:11" ht="45" hidden="1" x14ac:dyDescent="0.25">
      <c r="A19" s="35"/>
      <c r="B19" s="60" t="s">
        <v>1157</v>
      </c>
      <c r="C19" s="35"/>
      <c r="D19" s="35" t="s">
        <v>1076</v>
      </c>
      <c r="E19" s="35"/>
      <c r="F19" s="35"/>
      <c r="G19" s="35"/>
      <c r="H19" s="35"/>
      <c r="I19" s="372"/>
      <c r="J19" s="35"/>
    </row>
    <row r="20" spans="1:11" ht="30" hidden="1" x14ac:dyDescent="0.25">
      <c r="A20" s="35"/>
      <c r="B20" s="60" t="s">
        <v>1158</v>
      </c>
      <c r="C20" s="35"/>
      <c r="D20" s="35" t="s">
        <v>1076</v>
      </c>
      <c r="E20" s="35"/>
      <c r="F20" s="35"/>
      <c r="G20" s="35"/>
      <c r="H20" s="35"/>
      <c r="I20" s="372"/>
      <c r="J20" s="35"/>
    </row>
    <row r="21" spans="1:11" hidden="1" x14ac:dyDescent="0.25">
      <c r="A21" s="35"/>
      <c r="B21" s="60" t="s">
        <v>1159</v>
      </c>
      <c r="C21" s="35"/>
      <c r="D21" s="35" t="s">
        <v>1076</v>
      </c>
      <c r="E21" s="35"/>
      <c r="F21" s="35"/>
      <c r="G21" s="35"/>
      <c r="H21" s="35"/>
      <c r="I21" s="372"/>
      <c r="J21" s="35"/>
    </row>
    <row r="22" spans="1:11" ht="105" hidden="1" x14ac:dyDescent="0.25">
      <c r="A22" s="35"/>
      <c r="B22" s="60" t="s">
        <v>1161</v>
      </c>
      <c r="C22" s="35" t="s">
        <v>994</v>
      </c>
      <c r="D22" s="35"/>
      <c r="E22" s="35"/>
      <c r="F22" s="35"/>
      <c r="G22" s="35"/>
      <c r="H22" s="35"/>
      <c r="I22" s="372"/>
      <c r="J22" s="35"/>
    </row>
    <row r="23" spans="1:11" ht="45" hidden="1" x14ac:dyDescent="0.25">
      <c r="A23" s="60"/>
      <c r="B23" s="60" t="s">
        <v>1157</v>
      </c>
      <c r="C23" s="35"/>
      <c r="D23" s="35" t="s">
        <v>1076</v>
      </c>
      <c r="E23" s="35"/>
      <c r="F23" s="35"/>
      <c r="G23" s="35"/>
      <c r="H23" s="35"/>
      <c r="I23" s="372"/>
      <c r="J23" s="35"/>
    </row>
    <row r="24" spans="1:11" ht="30" hidden="1" x14ac:dyDescent="0.25">
      <c r="A24" s="60"/>
      <c r="B24" s="60" t="s">
        <v>1158</v>
      </c>
      <c r="C24" s="35"/>
      <c r="D24" s="35" t="s">
        <v>1076</v>
      </c>
      <c r="E24" s="35"/>
      <c r="F24" s="35"/>
      <c r="G24" s="35"/>
      <c r="H24" s="35"/>
      <c r="I24" s="372"/>
      <c r="J24" s="35"/>
    </row>
    <row r="25" spans="1:11" hidden="1" x14ac:dyDescent="0.25">
      <c r="A25" s="60"/>
      <c r="B25" s="60" t="s">
        <v>1159</v>
      </c>
      <c r="C25" s="35"/>
      <c r="D25" s="35" t="s">
        <v>1076</v>
      </c>
      <c r="E25" s="35"/>
      <c r="F25" s="35"/>
      <c r="G25" s="35"/>
      <c r="H25" s="35"/>
      <c r="I25" s="372"/>
      <c r="J25" s="35"/>
    </row>
    <row r="26" spans="1:11" ht="15" hidden="1" customHeight="1" x14ac:dyDescent="0.25">
      <c r="A26" s="439" t="s">
        <v>1162</v>
      </c>
      <c r="B26" s="439"/>
      <c r="C26" s="439"/>
      <c r="D26" s="439"/>
      <c r="E26" s="439"/>
      <c r="F26" s="439"/>
      <c r="G26" s="439"/>
      <c r="H26" s="147"/>
      <c r="I26" s="147"/>
      <c r="J26" s="154"/>
    </row>
    <row r="27" spans="1:11" ht="60" hidden="1" x14ac:dyDescent="0.25">
      <c r="A27" s="39" t="s">
        <v>1163</v>
      </c>
      <c r="B27" s="40" t="s">
        <v>1170</v>
      </c>
      <c r="C27" s="39"/>
      <c r="D27" s="39"/>
      <c r="E27" s="47"/>
      <c r="F27" s="47"/>
      <c r="G27" s="47"/>
      <c r="H27" s="47"/>
      <c r="I27" s="373"/>
      <c r="J27" s="47"/>
      <c r="K27" s="3" t="s">
        <v>286</v>
      </c>
    </row>
    <row r="28" spans="1:11" hidden="1" x14ac:dyDescent="0.25">
      <c r="A28" s="52"/>
      <c r="B28" s="40" t="s">
        <v>1164</v>
      </c>
      <c r="C28" s="39"/>
      <c r="D28" s="39"/>
      <c r="E28" s="42"/>
      <c r="F28" s="42"/>
      <c r="G28" s="42"/>
      <c r="H28" s="42"/>
      <c r="I28" s="374"/>
      <c r="J28" s="42"/>
    </row>
    <row r="29" spans="1:11" hidden="1" x14ac:dyDescent="0.25">
      <c r="A29" s="52"/>
      <c r="B29" s="40" t="s">
        <v>1333</v>
      </c>
      <c r="C29" s="39"/>
      <c r="D29" s="39" t="s">
        <v>9</v>
      </c>
      <c r="E29" s="42">
        <v>0.81</v>
      </c>
      <c r="F29" s="42">
        <v>1.69</v>
      </c>
      <c r="G29" s="42"/>
      <c r="H29" s="42"/>
      <c r="I29" s="374"/>
      <c r="J29" s="42"/>
    </row>
    <row r="30" spans="1:11" hidden="1" x14ac:dyDescent="0.25">
      <c r="A30" s="52"/>
      <c r="B30" s="40" t="s">
        <v>1335</v>
      </c>
      <c r="C30" s="39"/>
      <c r="D30" s="39" t="s">
        <v>9</v>
      </c>
      <c r="E30" s="42">
        <v>0</v>
      </c>
      <c r="F30" s="42">
        <v>0</v>
      </c>
      <c r="G30" s="42"/>
      <c r="H30" s="42"/>
      <c r="I30" s="374"/>
      <c r="J30" s="42"/>
    </row>
    <row r="31" spans="1:11" hidden="1" x14ac:dyDescent="0.25">
      <c r="A31" s="52"/>
      <c r="B31" s="40" t="s">
        <v>1166</v>
      </c>
      <c r="C31" s="39"/>
      <c r="D31" s="39"/>
      <c r="E31" s="42"/>
      <c r="F31" s="42"/>
      <c r="G31" s="42"/>
      <c r="H31" s="42"/>
      <c r="I31" s="374"/>
      <c r="J31" s="42"/>
    </row>
    <row r="32" spans="1:11" hidden="1" x14ac:dyDescent="0.25">
      <c r="A32" s="52"/>
      <c r="B32" s="40" t="s">
        <v>1333</v>
      </c>
      <c r="C32" s="39"/>
      <c r="D32" s="39" t="s">
        <v>9</v>
      </c>
      <c r="E32" s="42">
        <v>0.81</v>
      </c>
      <c r="F32" s="42">
        <v>1.24</v>
      </c>
      <c r="G32" s="42"/>
      <c r="H32" s="42"/>
      <c r="I32" s="374"/>
      <c r="J32" s="42"/>
    </row>
    <row r="33" spans="1:11" hidden="1" x14ac:dyDescent="0.25">
      <c r="A33" s="52"/>
      <c r="B33" s="40" t="s">
        <v>1335</v>
      </c>
      <c r="C33" s="39"/>
      <c r="D33" s="39" t="s">
        <v>9</v>
      </c>
      <c r="E33" s="42">
        <v>0</v>
      </c>
      <c r="F33" s="42">
        <v>0</v>
      </c>
      <c r="G33" s="42"/>
      <c r="H33" s="42"/>
      <c r="I33" s="374"/>
      <c r="J33" s="42"/>
    </row>
    <row r="34" spans="1:11" ht="75" hidden="1" x14ac:dyDescent="0.25">
      <c r="A34" s="31"/>
      <c r="B34" s="20" t="s">
        <v>1164</v>
      </c>
      <c r="C34" s="6" t="s">
        <v>1165</v>
      </c>
      <c r="D34" s="6" t="s">
        <v>1076</v>
      </c>
      <c r="E34" s="6"/>
      <c r="F34" s="6"/>
      <c r="G34" s="6"/>
      <c r="H34" s="6"/>
      <c r="I34" s="369"/>
      <c r="J34" s="6"/>
    </row>
    <row r="35" spans="1:11" ht="90" hidden="1" x14ac:dyDescent="0.25">
      <c r="A35" s="31"/>
      <c r="B35" s="20" t="s">
        <v>1166</v>
      </c>
      <c r="C35" s="6" t="s">
        <v>1167</v>
      </c>
      <c r="D35" s="6" t="s">
        <v>1076</v>
      </c>
      <c r="E35" s="6"/>
      <c r="F35" s="6"/>
      <c r="G35" s="6"/>
      <c r="H35" s="6"/>
      <c r="I35" s="369"/>
      <c r="J35" s="6"/>
    </row>
    <row r="36" spans="1:11" ht="45" hidden="1" x14ac:dyDescent="0.25">
      <c r="A36" s="31"/>
      <c r="B36" s="20" t="s">
        <v>329</v>
      </c>
      <c r="C36" s="6" t="s">
        <v>1168</v>
      </c>
      <c r="D36" s="6" t="s">
        <v>1076</v>
      </c>
      <c r="E36" s="6"/>
      <c r="F36" s="6"/>
      <c r="G36" s="6"/>
      <c r="H36" s="6"/>
      <c r="I36" s="369"/>
      <c r="J36" s="6"/>
    </row>
    <row r="37" spans="1:11" ht="60" hidden="1" x14ac:dyDescent="0.25">
      <c r="A37" s="39" t="s">
        <v>1169</v>
      </c>
      <c r="B37" s="40" t="s">
        <v>1171</v>
      </c>
      <c r="C37" s="39"/>
      <c r="D37" s="41"/>
      <c r="E37" s="39"/>
      <c r="F37" s="39"/>
      <c r="G37" s="39"/>
      <c r="H37" s="39"/>
      <c r="I37" s="375"/>
      <c r="J37" s="39"/>
      <c r="K37" s="3" t="s">
        <v>286</v>
      </c>
    </row>
    <row r="38" spans="1:11" hidden="1" x14ac:dyDescent="0.25">
      <c r="A38" s="52"/>
      <c r="B38" s="40" t="s">
        <v>1164</v>
      </c>
      <c r="C38" s="39"/>
      <c r="D38" s="39"/>
      <c r="E38" s="42"/>
      <c r="F38" s="42"/>
      <c r="G38" s="42"/>
      <c r="H38" s="42"/>
      <c r="I38" s="374"/>
      <c r="J38" s="42"/>
    </row>
    <row r="39" spans="1:11" hidden="1" x14ac:dyDescent="0.25">
      <c r="A39" s="52"/>
      <c r="B39" s="40" t="s">
        <v>1333</v>
      </c>
      <c r="C39" s="39"/>
      <c r="D39" s="39" t="s">
        <v>9</v>
      </c>
      <c r="E39" s="42">
        <v>1.47</v>
      </c>
      <c r="F39" s="42">
        <v>1.34</v>
      </c>
      <c r="G39" s="42"/>
      <c r="H39" s="42"/>
      <c r="I39" s="374"/>
      <c r="J39" s="42"/>
    </row>
    <row r="40" spans="1:11" hidden="1" x14ac:dyDescent="0.25">
      <c r="A40" s="52"/>
      <c r="B40" s="40" t="s">
        <v>1335</v>
      </c>
      <c r="C40" s="39"/>
      <c r="D40" s="39" t="s">
        <v>9</v>
      </c>
      <c r="E40" s="42">
        <v>6.84</v>
      </c>
      <c r="F40" s="42">
        <v>1.84</v>
      </c>
      <c r="G40" s="42"/>
      <c r="H40" s="42"/>
      <c r="I40" s="374"/>
      <c r="J40" s="42"/>
    </row>
    <row r="41" spans="1:11" hidden="1" x14ac:dyDescent="0.25">
      <c r="A41" s="52"/>
      <c r="B41" s="40" t="s">
        <v>1166</v>
      </c>
      <c r="C41" s="39"/>
      <c r="D41" s="39"/>
      <c r="E41" s="42"/>
      <c r="F41" s="42"/>
      <c r="G41" s="42"/>
      <c r="H41" s="42"/>
      <c r="I41" s="374"/>
      <c r="J41" s="42"/>
    </row>
    <row r="42" spans="1:11" hidden="1" x14ac:dyDescent="0.25">
      <c r="A42" s="52"/>
      <c r="B42" s="40" t="s">
        <v>1333</v>
      </c>
      <c r="C42" s="39"/>
      <c r="D42" s="39" t="s">
        <v>9</v>
      </c>
      <c r="E42" s="42">
        <v>1.47</v>
      </c>
      <c r="F42" s="42">
        <v>1.34</v>
      </c>
      <c r="G42" s="42"/>
      <c r="H42" s="42"/>
      <c r="I42" s="374"/>
      <c r="J42" s="42"/>
    </row>
    <row r="43" spans="1:11" hidden="1" x14ac:dyDescent="0.25">
      <c r="A43" s="52"/>
      <c r="B43" s="40" t="s">
        <v>1335</v>
      </c>
      <c r="C43" s="39"/>
      <c r="D43" s="39" t="s">
        <v>9</v>
      </c>
      <c r="E43" s="42">
        <v>0.78</v>
      </c>
      <c r="F43" s="42">
        <v>1.57</v>
      </c>
      <c r="G43" s="42"/>
      <c r="H43" s="42"/>
      <c r="I43" s="374"/>
      <c r="J43" s="42"/>
    </row>
    <row r="44" spans="1:11" ht="75" hidden="1" x14ac:dyDescent="0.25">
      <c r="A44" s="31"/>
      <c r="B44" s="20" t="s">
        <v>186</v>
      </c>
      <c r="C44" s="6" t="s">
        <v>1172</v>
      </c>
      <c r="D44" s="6" t="s">
        <v>1076</v>
      </c>
      <c r="E44" s="6"/>
      <c r="F44" s="6"/>
      <c r="G44" s="6"/>
      <c r="H44" s="6"/>
      <c r="I44" s="369"/>
      <c r="J44" s="6"/>
    </row>
    <row r="45" spans="1:11" ht="90" hidden="1" x14ac:dyDescent="0.25">
      <c r="A45" s="31"/>
      <c r="B45" s="20" t="s">
        <v>1166</v>
      </c>
      <c r="C45" s="6" t="s">
        <v>1173</v>
      </c>
      <c r="D45" s="6" t="s">
        <v>1076</v>
      </c>
      <c r="E45" s="6"/>
      <c r="F45" s="6"/>
      <c r="G45" s="6"/>
      <c r="H45" s="6"/>
      <c r="I45" s="369"/>
      <c r="J45" s="6"/>
    </row>
    <row r="46" spans="1:11" ht="45" hidden="1" x14ac:dyDescent="0.25">
      <c r="A46" s="31"/>
      <c r="B46" s="20" t="s">
        <v>1174</v>
      </c>
      <c r="C46" s="6" t="s">
        <v>1175</v>
      </c>
      <c r="D46" s="6" t="s">
        <v>1076</v>
      </c>
      <c r="E46" s="6"/>
      <c r="F46" s="6"/>
      <c r="G46" s="6"/>
      <c r="H46" s="6"/>
      <c r="I46" s="369"/>
      <c r="J46" s="6"/>
    </row>
    <row r="47" spans="1:11" x14ac:dyDescent="0.25">
      <c r="A47" s="452" t="s">
        <v>1176</v>
      </c>
      <c r="B47" s="453"/>
      <c r="C47" s="453"/>
      <c r="D47" s="453"/>
      <c r="E47" s="453"/>
      <c r="F47" s="453"/>
      <c r="G47" s="453"/>
      <c r="H47" s="453"/>
      <c r="I47" s="453"/>
      <c r="J47" s="154"/>
    </row>
    <row r="48" spans="1:11" hidden="1" x14ac:dyDescent="0.25">
      <c r="A48" s="53" t="s">
        <v>1218</v>
      </c>
      <c r="B48" s="119" t="s">
        <v>1219</v>
      </c>
      <c r="C48" s="57"/>
      <c r="D48" s="55"/>
      <c r="E48" s="55"/>
      <c r="F48" s="55"/>
      <c r="G48" s="55"/>
      <c r="H48" s="55"/>
      <c r="I48" s="376"/>
      <c r="J48" s="55"/>
    </row>
    <row r="49" spans="1:11" ht="30" hidden="1" x14ac:dyDescent="0.25">
      <c r="A49" s="56" t="s">
        <v>1177</v>
      </c>
      <c r="B49" s="57" t="s">
        <v>1178</v>
      </c>
      <c r="C49" s="55"/>
      <c r="D49" s="56"/>
      <c r="E49" s="69"/>
      <c r="F49" s="69"/>
      <c r="G49" s="69"/>
      <c r="H49" s="69"/>
      <c r="I49" s="377"/>
      <c r="J49" s="69"/>
      <c r="K49" s="3" t="s">
        <v>106</v>
      </c>
    </row>
    <row r="50" spans="1:11" ht="45" hidden="1" x14ac:dyDescent="0.25">
      <c r="A50" s="35"/>
      <c r="B50" s="60" t="s">
        <v>1179</v>
      </c>
      <c r="C50" s="35" t="s">
        <v>1182</v>
      </c>
      <c r="D50" s="35" t="s">
        <v>9</v>
      </c>
      <c r="E50" s="38" t="e">
        <f>E56/E62*100</f>
        <v>#DIV/0!</v>
      </c>
      <c r="F50" s="38" t="e">
        <f>F56/F62*100</f>
        <v>#DIV/0!</v>
      </c>
      <c r="G50" s="38" t="e">
        <f>G56/G62*100</f>
        <v>#DIV/0!</v>
      </c>
      <c r="H50" s="38"/>
      <c r="I50" s="371"/>
      <c r="J50" s="38"/>
      <c r="K50" s="3"/>
    </row>
    <row r="51" spans="1:11" ht="45" hidden="1" x14ac:dyDescent="0.25">
      <c r="A51" s="35"/>
      <c r="B51" s="60" t="s">
        <v>1180</v>
      </c>
      <c r="C51" s="35" t="s">
        <v>1182</v>
      </c>
      <c r="D51" s="35" t="s">
        <v>9</v>
      </c>
      <c r="E51" s="38" t="e">
        <f t="shared" ref="E51:F54" si="4">E57/E63*100</f>
        <v>#DIV/0!</v>
      </c>
      <c r="F51" s="38" t="e">
        <f t="shared" si="4"/>
        <v>#DIV/0!</v>
      </c>
      <c r="G51" s="38" t="e">
        <f t="shared" ref="G51" si="5">G57/G63*100</f>
        <v>#DIV/0!</v>
      </c>
      <c r="H51" s="38"/>
      <c r="I51" s="371"/>
      <c r="J51" s="38"/>
      <c r="K51" s="3"/>
    </row>
    <row r="52" spans="1:11" ht="45" hidden="1" x14ac:dyDescent="0.25">
      <c r="A52" s="35"/>
      <c r="B52" s="60" t="s">
        <v>1183</v>
      </c>
      <c r="C52" s="35" t="s">
        <v>1182</v>
      </c>
      <c r="D52" s="35" t="s">
        <v>9</v>
      </c>
      <c r="E52" s="38" t="e">
        <f t="shared" si="4"/>
        <v>#DIV/0!</v>
      </c>
      <c r="F52" s="38" t="e">
        <f t="shared" si="4"/>
        <v>#DIV/0!</v>
      </c>
      <c r="G52" s="38" t="e">
        <f t="shared" ref="G52" si="6">G58/G64*100</f>
        <v>#DIV/0!</v>
      </c>
      <c r="H52" s="38"/>
      <c r="I52" s="371"/>
      <c r="J52" s="38"/>
      <c r="K52" s="3"/>
    </row>
    <row r="53" spans="1:11" ht="45" hidden="1" x14ac:dyDescent="0.25">
      <c r="A53" s="35"/>
      <c r="B53" s="60" t="s">
        <v>1184</v>
      </c>
      <c r="C53" s="35" t="s">
        <v>1182</v>
      </c>
      <c r="D53" s="35" t="s">
        <v>9</v>
      </c>
      <c r="E53" s="38" t="e">
        <f t="shared" si="4"/>
        <v>#DIV/0!</v>
      </c>
      <c r="F53" s="38" t="e">
        <f t="shared" si="4"/>
        <v>#DIV/0!</v>
      </c>
      <c r="G53" s="38" t="e">
        <f t="shared" ref="G53" si="7">G59/G65*100</f>
        <v>#DIV/0!</v>
      </c>
      <c r="H53" s="38"/>
      <c r="I53" s="371"/>
      <c r="J53" s="38"/>
      <c r="K53" s="3"/>
    </row>
    <row r="54" spans="1:11" ht="45" hidden="1" x14ac:dyDescent="0.25">
      <c r="A54" s="35"/>
      <c r="B54" s="60" t="s">
        <v>1185</v>
      </c>
      <c r="C54" s="35" t="s">
        <v>1182</v>
      </c>
      <c r="D54" s="35" t="s">
        <v>9</v>
      </c>
      <c r="E54" s="38" t="e">
        <f t="shared" si="4"/>
        <v>#DIV/0!</v>
      </c>
      <c r="F54" s="38" t="e">
        <f t="shared" si="4"/>
        <v>#DIV/0!</v>
      </c>
      <c r="G54" s="38" t="e">
        <f t="shared" ref="G54" si="8">G60/G66*100</f>
        <v>#DIV/0!</v>
      </c>
      <c r="H54" s="38"/>
      <c r="I54" s="371"/>
      <c r="J54" s="38"/>
      <c r="K54" s="3"/>
    </row>
    <row r="55" spans="1:11" ht="105" hidden="1" x14ac:dyDescent="0.25">
      <c r="A55" s="35"/>
      <c r="B55" s="60" t="s">
        <v>1181</v>
      </c>
      <c r="C55" s="35" t="s">
        <v>1182</v>
      </c>
      <c r="D55" s="35"/>
      <c r="E55" s="38"/>
      <c r="F55" s="38"/>
      <c r="G55" s="38"/>
      <c r="H55" s="38"/>
      <c r="I55" s="371"/>
      <c r="J55" s="38"/>
      <c r="K55" s="3"/>
    </row>
    <row r="56" spans="1:11" hidden="1" x14ac:dyDescent="0.25">
      <c r="A56" s="35"/>
      <c r="B56" s="60" t="s">
        <v>1179</v>
      </c>
      <c r="C56" s="35"/>
      <c r="D56" s="35" t="s">
        <v>1076</v>
      </c>
      <c r="E56" s="36"/>
      <c r="F56" s="36"/>
      <c r="G56" s="36"/>
      <c r="H56" s="36"/>
      <c r="I56" s="378"/>
      <c r="J56" s="36"/>
      <c r="K56" s="3"/>
    </row>
    <row r="57" spans="1:11" hidden="1" x14ac:dyDescent="0.25">
      <c r="A57" s="35"/>
      <c r="B57" s="60" t="s">
        <v>1180</v>
      </c>
      <c r="C57" s="35"/>
      <c r="D57" s="35" t="s">
        <v>1076</v>
      </c>
      <c r="E57" s="36"/>
      <c r="F57" s="36"/>
      <c r="G57" s="36"/>
      <c r="H57" s="36"/>
      <c r="I57" s="378"/>
      <c r="J57" s="36"/>
      <c r="K57" s="3"/>
    </row>
    <row r="58" spans="1:11" ht="30" hidden="1" x14ac:dyDescent="0.25">
      <c r="A58" s="35"/>
      <c r="B58" s="60" t="s">
        <v>1183</v>
      </c>
      <c r="C58" s="35"/>
      <c r="D58" s="35" t="s">
        <v>1076</v>
      </c>
      <c r="E58" s="36"/>
      <c r="F58" s="36"/>
      <c r="G58" s="36"/>
      <c r="H58" s="36"/>
      <c r="I58" s="378"/>
      <c r="J58" s="36"/>
      <c r="K58" s="3"/>
    </row>
    <row r="59" spans="1:11" ht="30" hidden="1" x14ac:dyDescent="0.25">
      <c r="A59" s="35"/>
      <c r="B59" s="60" t="s">
        <v>1184</v>
      </c>
      <c r="C59" s="35"/>
      <c r="D59" s="35" t="s">
        <v>1076</v>
      </c>
      <c r="E59" s="36"/>
      <c r="F59" s="36"/>
      <c r="G59" s="36"/>
      <c r="H59" s="36"/>
      <c r="I59" s="378"/>
      <c r="J59" s="36"/>
      <c r="K59" s="3"/>
    </row>
    <row r="60" spans="1:11" hidden="1" x14ac:dyDescent="0.25">
      <c r="A60" s="35"/>
      <c r="B60" s="60" t="s">
        <v>1185</v>
      </c>
      <c r="C60" s="35"/>
      <c r="D60" s="35" t="s">
        <v>1076</v>
      </c>
      <c r="E60" s="36"/>
      <c r="F60" s="36"/>
      <c r="G60" s="36"/>
      <c r="H60" s="36"/>
      <c r="I60" s="378"/>
      <c r="J60" s="36"/>
      <c r="K60" s="3"/>
    </row>
    <row r="61" spans="1:11" ht="105" hidden="1" x14ac:dyDescent="0.25">
      <c r="A61" s="35"/>
      <c r="B61" s="60" t="s">
        <v>1186</v>
      </c>
      <c r="C61" s="35" t="s">
        <v>1182</v>
      </c>
      <c r="D61" s="35"/>
      <c r="E61" s="36"/>
      <c r="F61" s="36"/>
      <c r="G61" s="36"/>
      <c r="H61" s="36"/>
      <c r="I61" s="378"/>
      <c r="J61" s="36"/>
      <c r="K61" s="3"/>
    </row>
    <row r="62" spans="1:11" hidden="1" x14ac:dyDescent="0.25">
      <c r="A62" s="35"/>
      <c r="B62" s="60" t="s">
        <v>1179</v>
      </c>
      <c r="C62" s="35"/>
      <c r="D62" s="35" t="s">
        <v>1076</v>
      </c>
      <c r="E62" s="36"/>
      <c r="F62" s="36"/>
      <c r="G62" s="36"/>
      <c r="H62" s="36"/>
      <c r="I62" s="378"/>
      <c r="J62" s="36"/>
      <c r="K62" s="3"/>
    </row>
    <row r="63" spans="1:11" hidden="1" x14ac:dyDescent="0.25">
      <c r="A63" s="35"/>
      <c r="B63" s="60" t="s">
        <v>1180</v>
      </c>
      <c r="C63" s="35"/>
      <c r="D63" s="35" t="s">
        <v>1076</v>
      </c>
      <c r="E63" s="36"/>
      <c r="F63" s="36"/>
      <c r="G63" s="36"/>
      <c r="H63" s="36"/>
      <c r="I63" s="378"/>
      <c r="J63" s="36"/>
      <c r="K63" s="3"/>
    </row>
    <row r="64" spans="1:11" ht="30" hidden="1" x14ac:dyDescent="0.25">
      <c r="A64" s="35"/>
      <c r="B64" s="60" t="s">
        <v>1187</v>
      </c>
      <c r="C64" s="35"/>
      <c r="D64" s="35" t="s">
        <v>1076</v>
      </c>
      <c r="E64" s="36"/>
      <c r="F64" s="36"/>
      <c r="G64" s="36"/>
      <c r="H64" s="36"/>
      <c r="I64" s="378"/>
      <c r="J64" s="36"/>
      <c r="K64" s="3"/>
    </row>
    <row r="65" spans="1:11" ht="30" hidden="1" x14ac:dyDescent="0.25">
      <c r="A65" s="35"/>
      <c r="B65" s="60" t="s">
        <v>1184</v>
      </c>
      <c r="C65" s="35"/>
      <c r="D65" s="35" t="s">
        <v>1076</v>
      </c>
      <c r="E65" s="36"/>
      <c r="F65" s="36"/>
      <c r="G65" s="36"/>
      <c r="H65" s="36"/>
      <c r="I65" s="378"/>
      <c r="J65" s="36"/>
      <c r="K65" s="3"/>
    </row>
    <row r="66" spans="1:11" hidden="1" x14ac:dyDescent="0.25">
      <c r="A66" s="35"/>
      <c r="B66" s="60" t="s">
        <v>1185</v>
      </c>
      <c r="C66" s="35"/>
      <c r="D66" s="35" t="s">
        <v>1076</v>
      </c>
      <c r="E66" s="36"/>
      <c r="F66" s="36"/>
      <c r="G66" s="36"/>
      <c r="H66" s="36"/>
      <c r="I66" s="378"/>
      <c r="J66" s="36"/>
      <c r="K66" s="3"/>
    </row>
    <row r="67" spans="1:11" ht="30" hidden="1" x14ac:dyDescent="0.25">
      <c r="A67" s="56" t="s">
        <v>1188</v>
      </c>
      <c r="B67" s="57" t="s">
        <v>1189</v>
      </c>
      <c r="C67" s="56"/>
      <c r="D67" s="125" t="s">
        <v>1273</v>
      </c>
      <c r="E67" s="69"/>
      <c r="F67" s="69"/>
      <c r="G67" s="69"/>
      <c r="H67" s="69"/>
      <c r="I67" s="377"/>
      <c r="J67" s="69"/>
      <c r="K67" s="3" t="s">
        <v>106</v>
      </c>
    </row>
    <row r="68" spans="1:11" ht="45" hidden="1" x14ac:dyDescent="0.25">
      <c r="A68" s="53" t="s">
        <v>1220</v>
      </c>
      <c r="B68" s="119" t="s">
        <v>1190</v>
      </c>
      <c r="C68" s="57"/>
      <c r="D68" s="55"/>
      <c r="E68" s="55"/>
      <c r="F68" s="55"/>
      <c r="G68" s="55"/>
      <c r="H68" s="55"/>
      <c r="I68" s="376"/>
      <c r="J68" s="55"/>
    </row>
    <row r="69" spans="1:11" ht="105" hidden="1" x14ac:dyDescent="0.25">
      <c r="A69" s="56" t="s">
        <v>1201</v>
      </c>
      <c r="B69" s="57" t="s">
        <v>1191</v>
      </c>
      <c r="C69" s="56"/>
      <c r="D69" s="56"/>
      <c r="E69" s="69"/>
      <c r="F69" s="69"/>
      <c r="G69" s="69"/>
      <c r="H69" s="69"/>
      <c r="I69" s="377"/>
      <c r="J69" s="69"/>
      <c r="K69" s="3" t="s">
        <v>106</v>
      </c>
    </row>
    <row r="70" spans="1:11" hidden="1" x14ac:dyDescent="0.25">
      <c r="A70" s="35"/>
      <c r="B70" s="71" t="s">
        <v>1194</v>
      </c>
      <c r="C70" s="35"/>
      <c r="D70" s="35" t="s">
        <v>9</v>
      </c>
      <c r="E70" s="36"/>
      <c r="F70" s="36"/>
      <c r="G70" s="36"/>
      <c r="H70" s="36"/>
      <c r="I70" s="378"/>
      <c r="J70" s="36"/>
      <c r="K70" s="3"/>
    </row>
    <row r="71" spans="1:11" hidden="1" x14ac:dyDescent="0.25">
      <c r="A71" s="35"/>
      <c r="B71" s="71" t="s">
        <v>1195</v>
      </c>
      <c r="C71" s="35"/>
      <c r="D71" s="35"/>
      <c r="E71" s="36"/>
      <c r="F71" s="36"/>
      <c r="G71" s="36"/>
      <c r="H71" s="36"/>
      <c r="I71" s="378"/>
      <c r="J71" s="36"/>
      <c r="K71" s="3"/>
    </row>
    <row r="72" spans="1:11" hidden="1" x14ac:dyDescent="0.25">
      <c r="A72" s="35"/>
      <c r="B72" s="60" t="s">
        <v>1196</v>
      </c>
      <c r="C72" s="35"/>
      <c r="D72" s="35" t="s">
        <v>9</v>
      </c>
      <c r="E72" s="36"/>
      <c r="F72" s="36"/>
      <c r="G72" s="36"/>
      <c r="H72" s="36"/>
      <c r="I72" s="378"/>
      <c r="J72" s="36"/>
      <c r="K72" s="3"/>
    </row>
    <row r="73" spans="1:11" hidden="1" x14ac:dyDescent="0.25">
      <c r="A73" s="35"/>
      <c r="B73" s="60" t="s">
        <v>1197</v>
      </c>
      <c r="C73" s="35"/>
      <c r="D73" s="35" t="s">
        <v>9</v>
      </c>
      <c r="E73" s="36"/>
      <c r="F73" s="36"/>
      <c r="G73" s="36"/>
      <c r="H73" s="36"/>
      <c r="I73" s="378"/>
      <c r="J73" s="36"/>
      <c r="K73" s="3"/>
    </row>
    <row r="74" spans="1:11" hidden="1" x14ac:dyDescent="0.25">
      <c r="A74" s="35"/>
      <c r="B74" s="60" t="s">
        <v>1192</v>
      </c>
      <c r="C74" s="35"/>
      <c r="D74" s="35" t="s">
        <v>9</v>
      </c>
      <c r="E74" s="36"/>
      <c r="F74" s="36"/>
      <c r="G74" s="36"/>
      <c r="H74" s="36"/>
      <c r="I74" s="378"/>
      <c r="J74" s="36"/>
      <c r="K74" s="3"/>
    </row>
    <row r="75" spans="1:11" hidden="1" x14ac:dyDescent="0.25">
      <c r="A75" s="35"/>
      <c r="B75" s="60" t="s">
        <v>1193</v>
      </c>
      <c r="C75" s="35"/>
      <c r="D75" s="35" t="s">
        <v>9</v>
      </c>
      <c r="E75" s="36"/>
      <c r="F75" s="36"/>
      <c r="G75" s="36"/>
      <c r="H75" s="36"/>
      <c r="I75" s="378"/>
      <c r="J75" s="36"/>
      <c r="K75" s="3"/>
    </row>
    <row r="76" spans="1:11" hidden="1" x14ac:dyDescent="0.25">
      <c r="A76" s="35"/>
      <c r="B76" s="71" t="s">
        <v>1198</v>
      </c>
      <c r="C76" s="35"/>
      <c r="D76" s="35"/>
      <c r="E76" s="36"/>
      <c r="F76" s="36"/>
      <c r="G76" s="36"/>
      <c r="H76" s="36"/>
      <c r="I76" s="378"/>
      <c r="J76" s="36"/>
      <c r="K76" s="3"/>
    </row>
    <row r="77" spans="1:11" hidden="1" x14ac:dyDescent="0.25">
      <c r="A77" s="35"/>
      <c r="B77" s="60" t="s">
        <v>1199</v>
      </c>
      <c r="C77" s="35"/>
      <c r="D77" s="35" t="s">
        <v>9</v>
      </c>
      <c r="E77" s="36"/>
      <c r="F77" s="36"/>
      <c r="G77" s="36"/>
      <c r="H77" s="36"/>
      <c r="I77" s="378"/>
      <c r="J77" s="36"/>
      <c r="K77" s="3"/>
    </row>
    <row r="78" spans="1:11" hidden="1" x14ac:dyDescent="0.25">
      <c r="A78" s="35"/>
      <c r="B78" s="60" t="s">
        <v>1200</v>
      </c>
      <c r="C78" s="35"/>
      <c r="D78" s="35" t="s">
        <v>9</v>
      </c>
      <c r="E78" s="36"/>
      <c r="F78" s="36"/>
      <c r="G78" s="36"/>
      <c r="H78" s="36"/>
      <c r="I78" s="378"/>
      <c r="J78" s="36"/>
      <c r="K78" s="3"/>
    </row>
    <row r="79" spans="1:11" hidden="1" x14ac:dyDescent="0.25">
      <c r="A79" s="35"/>
      <c r="B79" s="60" t="s">
        <v>1314</v>
      </c>
      <c r="C79" s="35"/>
      <c r="D79" s="35" t="s">
        <v>9</v>
      </c>
      <c r="E79" s="36"/>
      <c r="F79" s="36"/>
      <c r="G79" s="36"/>
      <c r="H79" s="36"/>
      <c r="I79" s="378"/>
      <c r="J79" s="36"/>
      <c r="K79" s="3"/>
    </row>
    <row r="80" spans="1:11" ht="30" x14ac:dyDescent="0.25">
      <c r="A80" s="117" t="s">
        <v>1221</v>
      </c>
      <c r="B80" s="136" t="s">
        <v>1222</v>
      </c>
      <c r="C80" s="98"/>
      <c r="D80" s="115"/>
      <c r="E80" s="115"/>
      <c r="F80" s="115"/>
      <c r="G80" s="115"/>
      <c r="H80" s="115"/>
      <c r="I80" s="367"/>
      <c r="J80" s="115"/>
    </row>
    <row r="81" spans="1:11" ht="60" hidden="1" x14ac:dyDescent="0.25">
      <c r="A81" s="56" t="s">
        <v>1206</v>
      </c>
      <c r="B81" s="57" t="s">
        <v>1202</v>
      </c>
      <c r="C81" s="56"/>
      <c r="D81" s="56" t="s">
        <v>9</v>
      </c>
      <c r="E81" s="48" t="e">
        <f>E82/E83*100</f>
        <v>#DIV/0!</v>
      </c>
      <c r="F81" s="48" t="e">
        <f>F82/F83*100</f>
        <v>#DIV/0!</v>
      </c>
      <c r="G81" s="48" t="e">
        <f>G82/G83*100</f>
        <v>#DIV/0!</v>
      </c>
      <c r="H81" s="48"/>
      <c r="I81" s="370"/>
      <c r="J81" s="48"/>
      <c r="K81" s="3" t="s">
        <v>286</v>
      </c>
    </row>
    <row r="82" spans="1:11" ht="60" hidden="1" x14ac:dyDescent="0.25">
      <c r="A82" s="35"/>
      <c r="B82" s="60" t="s">
        <v>1203</v>
      </c>
      <c r="C82" s="35" t="s">
        <v>147</v>
      </c>
      <c r="D82" s="35" t="s">
        <v>1076</v>
      </c>
      <c r="E82" s="36"/>
      <c r="F82" s="36"/>
      <c r="G82" s="36"/>
      <c r="H82" s="36"/>
      <c r="I82" s="378"/>
      <c r="J82" s="36"/>
      <c r="K82" s="3"/>
    </row>
    <row r="83" spans="1:11" ht="45" hidden="1" x14ac:dyDescent="0.25">
      <c r="A83" s="35"/>
      <c r="B83" s="60" t="s">
        <v>1204</v>
      </c>
      <c r="C83" s="35" t="s">
        <v>1205</v>
      </c>
      <c r="D83" s="35" t="s">
        <v>1076</v>
      </c>
      <c r="E83" s="36"/>
      <c r="F83" s="36"/>
      <c r="G83" s="36"/>
      <c r="H83" s="36"/>
      <c r="I83" s="378"/>
      <c r="J83" s="36"/>
      <c r="K83" s="3"/>
    </row>
    <row r="84" spans="1:11" ht="60" x14ac:dyDescent="0.25">
      <c r="A84" s="39" t="s">
        <v>1207</v>
      </c>
      <c r="B84" s="40" t="s">
        <v>1208</v>
      </c>
      <c r="C84" s="41"/>
      <c r="D84" s="39"/>
      <c r="E84" s="47"/>
      <c r="F84" s="47"/>
      <c r="G84" s="47"/>
      <c r="H84" s="47"/>
      <c r="I84" s="373"/>
      <c r="J84" s="47"/>
      <c r="K84" s="3" t="s">
        <v>1211</v>
      </c>
    </row>
    <row r="85" spans="1:11" x14ac:dyDescent="0.25">
      <c r="A85" s="39"/>
      <c r="B85" s="40" t="s">
        <v>1333</v>
      </c>
      <c r="C85" s="41"/>
      <c r="D85" s="39" t="s">
        <v>9</v>
      </c>
      <c r="E85" s="42">
        <f t="shared" ref="E85:G86" si="9">E88/E91*100</f>
        <v>100</v>
      </c>
      <c r="F85" s="42">
        <f t="shared" si="9"/>
        <v>100</v>
      </c>
      <c r="G85" s="42">
        <f t="shared" si="9"/>
        <v>100</v>
      </c>
      <c r="H85" s="42">
        <f t="shared" ref="H85:J85" si="10">H88/H91*100</f>
        <v>100</v>
      </c>
      <c r="I85" s="374">
        <f t="shared" si="10"/>
        <v>100</v>
      </c>
      <c r="J85" s="42">
        <f t="shared" si="10"/>
        <v>100</v>
      </c>
      <c r="K85" s="3"/>
    </row>
    <row r="86" spans="1:11" x14ac:dyDescent="0.25">
      <c r="A86" s="39"/>
      <c r="B86" s="40" t="s">
        <v>1335</v>
      </c>
      <c r="C86" s="41"/>
      <c r="D86" s="39" t="s">
        <v>9</v>
      </c>
      <c r="E86" s="42" t="e">
        <f t="shared" si="9"/>
        <v>#DIV/0!</v>
      </c>
      <c r="F86" s="42" t="e">
        <f t="shared" si="9"/>
        <v>#DIV/0!</v>
      </c>
      <c r="G86" s="42" t="e">
        <f t="shared" si="9"/>
        <v>#DIV/0!</v>
      </c>
      <c r="H86" s="42" t="e">
        <f t="shared" ref="H86:J86" si="11">H89/H92*100</f>
        <v>#DIV/0!</v>
      </c>
      <c r="I86" s="374" t="e">
        <f t="shared" si="11"/>
        <v>#DIV/0!</v>
      </c>
      <c r="J86" s="42" t="e">
        <f t="shared" si="11"/>
        <v>#DIV/0!</v>
      </c>
      <c r="K86" s="3"/>
    </row>
    <row r="87" spans="1:11" ht="60" x14ac:dyDescent="0.25">
      <c r="A87" s="6"/>
      <c r="B87" s="20" t="s">
        <v>1209</v>
      </c>
      <c r="C87" s="6" t="s">
        <v>1210</v>
      </c>
      <c r="D87" s="6" t="s">
        <v>1268</v>
      </c>
      <c r="E87" s="10"/>
      <c r="F87" s="10"/>
      <c r="G87" s="10"/>
      <c r="H87" s="10"/>
      <c r="I87" s="379"/>
      <c r="J87" s="10"/>
      <c r="K87" s="3"/>
    </row>
    <row r="88" spans="1:11" x14ac:dyDescent="0.25">
      <c r="A88" s="6"/>
      <c r="B88" s="20" t="s">
        <v>1333</v>
      </c>
      <c r="C88" s="6"/>
      <c r="D88" s="6"/>
      <c r="E88" s="10">
        <v>22</v>
      </c>
      <c r="F88" s="10">
        <v>22</v>
      </c>
      <c r="G88" s="10">
        <v>21</v>
      </c>
      <c r="H88" s="10">
        <v>20</v>
      </c>
      <c r="I88" s="379">
        <v>19</v>
      </c>
      <c r="J88" s="10">
        <v>18</v>
      </c>
      <c r="K88" s="3"/>
    </row>
    <row r="89" spans="1:11" x14ac:dyDescent="0.25">
      <c r="A89" s="6"/>
      <c r="B89" s="20" t="s">
        <v>1335</v>
      </c>
      <c r="C89" s="6"/>
      <c r="D89" s="6"/>
      <c r="E89" s="10">
        <v>0</v>
      </c>
      <c r="F89" s="10">
        <v>0</v>
      </c>
      <c r="G89" s="10">
        <v>0</v>
      </c>
      <c r="H89" s="10">
        <v>0</v>
      </c>
      <c r="I89" s="379">
        <v>0</v>
      </c>
      <c r="J89" s="10">
        <v>0</v>
      </c>
      <c r="K89" s="3"/>
    </row>
    <row r="90" spans="1:11" ht="45" x14ac:dyDescent="0.25">
      <c r="A90" s="6"/>
      <c r="B90" s="20" t="s">
        <v>206</v>
      </c>
      <c r="C90" s="6" t="s">
        <v>260</v>
      </c>
      <c r="D90" s="6" t="s">
        <v>1268</v>
      </c>
      <c r="E90" s="10"/>
      <c r="F90" s="10"/>
      <c r="G90" s="10"/>
      <c r="H90" s="10"/>
      <c r="I90" s="379"/>
      <c r="J90" s="10"/>
      <c r="K90" s="3"/>
    </row>
    <row r="91" spans="1:11" x14ac:dyDescent="0.25">
      <c r="A91" s="6"/>
      <c r="B91" s="20" t="s">
        <v>1333</v>
      </c>
      <c r="C91" s="6"/>
      <c r="D91" s="6"/>
      <c r="E91" s="10">
        <v>22</v>
      </c>
      <c r="F91" s="10">
        <v>22</v>
      </c>
      <c r="G91" s="10">
        <v>21</v>
      </c>
      <c r="H91" s="10">
        <v>20</v>
      </c>
      <c r="I91" s="379">
        <v>19</v>
      </c>
      <c r="J91" s="10">
        <v>18</v>
      </c>
      <c r="K91" s="3"/>
    </row>
    <row r="92" spans="1:11" x14ac:dyDescent="0.25">
      <c r="A92" s="6"/>
      <c r="B92" s="20" t="s">
        <v>1335</v>
      </c>
      <c r="C92" s="6"/>
      <c r="D92" s="6"/>
      <c r="E92" s="10">
        <v>0</v>
      </c>
      <c r="F92" s="10">
        <v>0</v>
      </c>
      <c r="G92" s="10">
        <v>0</v>
      </c>
      <c r="H92" s="10">
        <v>0</v>
      </c>
      <c r="I92" s="379">
        <v>0</v>
      </c>
      <c r="J92" s="10">
        <v>0</v>
      </c>
      <c r="K92" s="3"/>
    </row>
    <row r="93" spans="1:11" hidden="1" x14ac:dyDescent="0.25">
      <c r="A93" s="53" t="s">
        <v>1223</v>
      </c>
      <c r="B93" s="119" t="s">
        <v>1224</v>
      </c>
      <c r="C93" s="57"/>
      <c r="D93" s="55"/>
      <c r="E93" s="55"/>
      <c r="F93" s="55"/>
      <c r="G93" s="55"/>
      <c r="H93" s="55"/>
      <c r="I93" s="376"/>
      <c r="J93" s="55"/>
    </row>
    <row r="94" spans="1:11" ht="45" hidden="1" x14ac:dyDescent="0.25">
      <c r="A94" s="56" t="s">
        <v>1212</v>
      </c>
      <c r="B94" s="57" t="s">
        <v>1213</v>
      </c>
      <c r="C94" s="55"/>
      <c r="D94" s="56" t="s">
        <v>9</v>
      </c>
      <c r="E94" s="48" t="e">
        <f>E95/E96*100</f>
        <v>#DIV/0!</v>
      </c>
      <c r="F94" s="48" t="e">
        <f>F95/F96*100</f>
        <v>#DIV/0!</v>
      </c>
      <c r="G94" s="48" t="e">
        <f>G95/G96*100</f>
        <v>#DIV/0!</v>
      </c>
      <c r="H94" s="48"/>
      <c r="I94" s="370"/>
      <c r="J94" s="48"/>
      <c r="K94" s="3" t="s">
        <v>106</v>
      </c>
    </row>
    <row r="95" spans="1:11" ht="60" hidden="1" x14ac:dyDescent="0.25">
      <c r="A95" s="35"/>
      <c r="B95" s="60" t="s">
        <v>1214</v>
      </c>
      <c r="C95" s="35" t="s">
        <v>1215</v>
      </c>
      <c r="D95" s="35" t="s">
        <v>1268</v>
      </c>
      <c r="E95" s="36"/>
      <c r="F95" s="36"/>
      <c r="G95" s="36"/>
      <c r="H95" s="36"/>
      <c r="I95" s="378"/>
      <c r="J95" s="36"/>
      <c r="K95" s="3"/>
    </row>
    <row r="96" spans="1:11" ht="60" hidden="1" x14ac:dyDescent="0.25">
      <c r="A96" s="35"/>
      <c r="B96" s="60" t="s">
        <v>1216</v>
      </c>
      <c r="C96" s="35" t="s">
        <v>1215</v>
      </c>
      <c r="D96" s="35" t="s">
        <v>1268</v>
      </c>
      <c r="E96" s="36"/>
      <c r="F96" s="36"/>
      <c r="G96" s="36"/>
      <c r="H96" s="36"/>
      <c r="I96" s="378"/>
      <c r="J96" s="36"/>
      <c r="K96" s="19"/>
    </row>
    <row r="97" spans="1:11" ht="15" customHeight="1" x14ac:dyDescent="0.25">
      <c r="A97" s="449" t="s">
        <v>1217</v>
      </c>
      <c r="B97" s="449"/>
      <c r="C97" s="449"/>
      <c r="D97" s="449"/>
      <c r="E97" s="449"/>
      <c r="F97" s="449"/>
      <c r="G97" s="449"/>
      <c r="H97" s="148"/>
      <c r="I97" s="148"/>
      <c r="J97" s="156"/>
      <c r="K97" s="19"/>
    </row>
    <row r="98" spans="1:11" x14ac:dyDescent="0.25">
      <c r="A98" s="44" t="s">
        <v>1225</v>
      </c>
      <c r="B98" s="45" t="s">
        <v>1226</v>
      </c>
      <c r="C98" s="41"/>
      <c r="D98" s="41"/>
      <c r="E98" s="41"/>
      <c r="F98" s="41"/>
      <c r="G98" s="41"/>
      <c r="H98" s="41"/>
      <c r="I98" s="380"/>
      <c r="J98" s="41"/>
    </row>
    <row r="99" spans="1:11" ht="30" x14ac:dyDescent="0.25">
      <c r="A99" s="39" t="s">
        <v>1228</v>
      </c>
      <c r="B99" s="40" t="s">
        <v>1227</v>
      </c>
      <c r="C99" s="41"/>
      <c r="D99" s="39" t="s">
        <v>9</v>
      </c>
      <c r="E99" s="47">
        <f t="shared" ref="E99:J99" si="12">E100/E106*100</f>
        <v>94.090991480877278</v>
      </c>
      <c r="F99" s="47">
        <f t="shared" si="12"/>
        <v>93.780421849648448</v>
      </c>
      <c r="G99" s="47">
        <f t="shared" si="12"/>
        <v>96.414922656960883</v>
      </c>
      <c r="H99" s="47">
        <f t="shared" si="12"/>
        <v>101.6484569676059</v>
      </c>
      <c r="I99" s="373">
        <f t="shared" si="12"/>
        <v>101.72087745839637</v>
      </c>
      <c r="J99" s="47">
        <f t="shared" si="12"/>
        <v>74.047287899860919</v>
      </c>
      <c r="K99" s="3" t="s">
        <v>46</v>
      </c>
    </row>
    <row r="100" spans="1:11" ht="30" x14ac:dyDescent="0.25">
      <c r="A100" s="6"/>
      <c r="B100" s="20" t="s">
        <v>1229</v>
      </c>
      <c r="C100" s="6"/>
      <c r="D100" s="6"/>
      <c r="E100" s="10">
        <f t="shared" ref="E100:J100" si="13">E101+E102+E104+E103+E105</f>
        <v>5191</v>
      </c>
      <c r="F100" s="10">
        <f t="shared" si="13"/>
        <v>5202</v>
      </c>
      <c r="G100" s="10">
        <f t="shared" si="13"/>
        <v>5298</v>
      </c>
      <c r="H100" s="10">
        <f t="shared" si="13"/>
        <v>5303</v>
      </c>
      <c r="I100" s="379">
        <f t="shared" si="13"/>
        <v>5379</v>
      </c>
      <c r="J100" s="10">
        <f t="shared" si="13"/>
        <v>5324</v>
      </c>
      <c r="K100" s="3"/>
    </row>
    <row r="101" spans="1:11" ht="45" x14ac:dyDescent="0.25">
      <c r="A101" s="6"/>
      <c r="B101" s="20" t="s">
        <v>1230</v>
      </c>
      <c r="C101" s="72" t="s">
        <v>1581</v>
      </c>
      <c r="D101" s="6" t="s">
        <v>1076</v>
      </c>
      <c r="E101" s="34">
        <v>840</v>
      </c>
      <c r="F101" s="34">
        <v>845</v>
      </c>
      <c r="G101" s="10">
        <v>853</v>
      </c>
      <c r="H101" s="10">
        <v>847</v>
      </c>
      <c r="I101" s="379">
        <v>890</v>
      </c>
      <c r="J101" s="10">
        <v>836</v>
      </c>
      <c r="K101" s="3"/>
    </row>
    <row r="102" spans="1:11" ht="60" x14ac:dyDescent="0.25">
      <c r="A102" s="6"/>
      <c r="B102" s="20" t="s">
        <v>1231</v>
      </c>
      <c r="C102" s="6" t="s">
        <v>1232</v>
      </c>
      <c r="D102" s="6" t="s">
        <v>1076</v>
      </c>
      <c r="E102" s="34">
        <v>4351</v>
      </c>
      <c r="F102" s="34">
        <v>4357</v>
      </c>
      <c r="G102" s="34">
        <v>4445</v>
      </c>
      <c r="H102" s="34">
        <f>4446+10</f>
        <v>4456</v>
      </c>
      <c r="I102" s="381">
        <v>4489</v>
      </c>
      <c r="J102" s="34">
        <v>4488</v>
      </c>
      <c r="K102" s="3"/>
    </row>
    <row r="103" spans="1:11" ht="45" x14ac:dyDescent="0.25">
      <c r="A103" s="6"/>
      <c r="B103" s="20" t="s">
        <v>1233</v>
      </c>
      <c r="C103" s="6" t="s">
        <v>1234</v>
      </c>
      <c r="D103" s="6" t="s">
        <v>1076</v>
      </c>
      <c r="E103" s="10">
        <v>0</v>
      </c>
      <c r="F103" s="10">
        <v>0</v>
      </c>
      <c r="G103" s="10">
        <v>0</v>
      </c>
      <c r="H103" s="10">
        <v>0</v>
      </c>
      <c r="I103" s="379">
        <v>0</v>
      </c>
      <c r="J103" s="10">
        <v>0</v>
      </c>
      <c r="K103" s="3"/>
    </row>
    <row r="104" spans="1:11" ht="60" x14ac:dyDescent="0.25">
      <c r="A104" s="6"/>
      <c r="B104" s="20" t="s">
        <v>1235</v>
      </c>
      <c r="C104" s="6" t="s">
        <v>1236</v>
      </c>
      <c r="D104" s="6" t="s">
        <v>1076</v>
      </c>
      <c r="E104" s="10">
        <v>0</v>
      </c>
      <c r="F104" s="10">
        <v>0</v>
      </c>
      <c r="G104" s="10">
        <v>0</v>
      </c>
      <c r="H104" s="10">
        <v>0</v>
      </c>
      <c r="I104" s="379">
        <v>0</v>
      </c>
      <c r="J104" s="10">
        <v>0</v>
      </c>
      <c r="K104" s="3"/>
    </row>
    <row r="105" spans="1:11" ht="60" x14ac:dyDescent="0.25">
      <c r="A105" s="6"/>
      <c r="B105" s="20" t="s">
        <v>1237</v>
      </c>
      <c r="C105" s="6" t="s">
        <v>1238</v>
      </c>
      <c r="D105" s="6" t="s">
        <v>1076</v>
      </c>
      <c r="E105" s="10">
        <v>0</v>
      </c>
      <c r="F105" s="10">
        <v>0</v>
      </c>
      <c r="G105" s="10">
        <v>0</v>
      </c>
      <c r="H105" s="10">
        <v>0</v>
      </c>
      <c r="I105" s="379">
        <v>0</v>
      </c>
      <c r="J105" s="10">
        <v>0</v>
      </c>
      <c r="K105" s="3"/>
    </row>
    <row r="106" spans="1:11" ht="30" x14ac:dyDescent="0.25">
      <c r="A106" s="6"/>
      <c r="B106" s="20" t="s">
        <v>1239</v>
      </c>
      <c r="C106" s="6" t="s">
        <v>142</v>
      </c>
      <c r="D106" s="6" t="s">
        <v>1076</v>
      </c>
      <c r="E106" s="34">
        <v>5517</v>
      </c>
      <c r="F106" s="34">
        <v>5547</v>
      </c>
      <c r="G106" s="34">
        <v>5495</v>
      </c>
      <c r="H106" s="34">
        <v>5217</v>
      </c>
      <c r="I106" s="381">
        <v>5288</v>
      </c>
      <c r="J106" s="34">
        <v>7190</v>
      </c>
      <c r="K106" s="3"/>
    </row>
    <row r="107" spans="1:11" ht="60" hidden="1" x14ac:dyDescent="0.25">
      <c r="A107" s="39" t="s">
        <v>1240</v>
      </c>
      <c r="B107" s="40" t="s">
        <v>1241</v>
      </c>
      <c r="C107" s="41"/>
      <c r="D107" s="39"/>
      <c r="E107" s="47"/>
      <c r="F107" s="47"/>
      <c r="G107" s="47"/>
      <c r="H107" s="47"/>
      <c r="I107" s="47"/>
      <c r="J107" s="360"/>
      <c r="K107" s="3" t="s">
        <v>46</v>
      </c>
    </row>
    <row r="108" spans="1:11" ht="30" hidden="1" x14ac:dyDescent="0.25">
      <c r="A108" s="39"/>
      <c r="B108" s="43" t="s">
        <v>1315</v>
      </c>
      <c r="C108" s="39" t="s">
        <v>1242</v>
      </c>
      <c r="D108" s="39" t="s">
        <v>9</v>
      </c>
      <c r="E108" s="63">
        <v>7.61</v>
      </c>
      <c r="F108" s="63">
        <v>37.33</v>
      </c>
      <c r="G108" s="63"/>
      <c r="H108" s="63"/>
      <c r="I108" s="63"/>
      <c r="J108" s="363"/>
    </row>
    <row r="109" spans="1:11" ht="30" hidden="1" x14ac:dyDescent="0.25">
      <c r="A109" s="39"/>
      <c r="B109" s="43" t="s">
        <v>1316</v>
      </c>
      <c r="C109" s="39" t="s">
        <v>1243</v>
      </c>
      <c r="D109" s="39" t="s">
        <v>9</v>
      </c>
      <c r="E109" s="63">
        <v>30.31</v>
      </c>
      <c r="F109" s="63">
        <v>34.049999999999997</v>
      </c>
      <c r="G109" s="63"/>
      <c r="H109" s="63"/>
      <c r="I109" s="63"/>
      <c r="J109" s="363"/>
    </row>
    <row r="110" spans="1:11" ht="30" hidden="1" x14ac:dyDescent="0.25">
      <c r="A110" s="39"/>
      <c r="B110" s="43" t="s">
        <v>1317</v>
      </c>
      <c r="C110" s="39" t="s">
        <v>1244</v>
      </c>
      <c r="D110" s="39" t="s">
        <v>9</v>
      </c>
      <c r="E110" s="63">
        <v>36.090000000000003</v>
      </c>
      <c r="F110" s="63">
        <v>3.44</v>
      </c>
      <c r="G110" s="63"/>
      <c r="H110" s="63"/>
      <c r="I110" s="63"/>
      <c r="J110" s="363"/>
    </row>
    <row r="111" spans="1:11" ht="45" hidden="1" x14ac:dyDescent="0.25">
      <c r="A111" s="39"/>
      <c r="B111" s="43" t="s">
        <v>1318</v>
      </c>
      <c r="C111" s="39" t="s">
        <v>1245</v>
      </c>
      <c r="D111" s="39" t="s">
        <v>9</v>
      </c>
      <c r="E111" s="63">
        <v>23.92</v>
      </c>
      <c r="F111" s="63">
        <v>23.27</v>
      </c>
      <c r="G111" s="63"/>
      <c r="H111" s="63"/>
      <c r="I111" s="63"/>
      <c r="J111" s="363"/>
    </row>
    <row r="112" spans="1:11" ht="30" hidden="1" x14ac:dyDescent="0.25">
      <c r="A112" s="39"/>
      <c r="B112" s="43" t="s">
        <v>1319</v>
      </c>
      <c r="C112" s="39" t="s">
        <v>1246</v>
      </c>
      <c r="D112" s="39" t="s">
        <v>9</v>
      </c>
      <c r="E112" s="63">
        <v>2.0699999999999998</v>
      </c>
      <c r="F112" s="120">
        <v>1.9</v>
      </c>
      <c r="G112" s="120"/>
      <c r="H112" s="120"/>
      <c r="I112" s="120"/>
      <c r="J112" s="364"/>
    </row>
    <row r="113" spans="1:11" ht="30" hidden="1" x14ac:dyDescent="0.25">
      <c r="A113" s="56"/>
      <c r="B113" s="70" t="s">
        <v>1320</v>
      </c>
      <c r="C113" s="56" t="s">
        <v>1247</v>
      </c>
      <c r="D113" s="56" t="s">
        <v>9</v>
      </c>
      <c r="E113" s="121"/>
      <c r="F113" s="121"/>
      <c r="G113" s="121"/>
      <c r="H113" s="121"/>
      <c r="I113" s="121"/>
      <c r="J113" s="365"/>
    </row>
    <row r="114" spans="1:11" ht="30" hidden="1" x14ac:dyDescent="0.25">
      <c r="A114" s="53" t="s">
        <v>1248</v>
      </c>
      <c r="B114" s="54" t="s">
        <v>1249</v>
      </c>
      <c r="C114" s="55"/>
      <c r="D114" s="55"/>
      <c r="E114" s="55"/>
      <c r="F114" s="55"/>
      <c r="G114" s="55"/>
      <c r="H114" s="55"/>
      <c r="I114" s="55"/>
      <c r="J114" s="361"/>
    </row>
    <row r="115" spans="1:11" ht="45" hidden="1" x14ac:dyDescent="0.25">
      <c r="A115" s="56" t="s">
        <v>1251</v>
      </c>
      <c r="B115" s="57" t="s">
        <v>1250</v>
      </c>
      <c r="C115" s="56"/>
      <c r="D115" s="56" t="s">
        <v>9</v>
      </c>
      <c r="E115" s="48" t="e">
        <f>E116/E117*100</f>
        <v>#DIV/0!</v>
      </c>
      <c r="F115" s="48" t="e">
        <f>F116/F117*100</f>
        <v>#DIV/0!</v>
      </c>
      <c r="G115" s="48" t="e">
        <f>G116/G117*100</f>
        <v>#DIV/0!</v>
      </c>
      <c r="H115" s="48"/>
      <c r="I115" s="48"/>
      <c r="J115" s="359"/>
      <c r="K115" s="3" t="s">
        <v>106</v>
      </c>
    </row>
    <row r="116" spans="1:11" ht="30" hidden="1" x14ac:dyDescent="0.25">
      <c r="A116" s="35"/>
      <c r="B116" s="60" t="s">
        <v>1252</v>
      </c>
      <c r="C116" s="35" t="s">
        <v>147</v>
      </c>
      <c r="D116" s="35" t="s">
        <v>1076</v>
      </c>
      <c r="E116" s="36"/>
      <c r="F116" s="36"/>
      <c r="G116" s="36"/>
      <c r="H116" s="36"/>
      <c r="I116" s="36"/>
      <c r="J116" s="362"/>
      <c r="K116" s="3"/>
    </row>
    <row r="117" spans="1:11" ht="30" hidden="1" x14ac:dyDescent="0.25">
      <c r="A117" s="35"/>
      <c r="B117" s="60" t="s">
        <v>1253</v>
      </c>
      <c r="C117" s="35" t="s">
        <v>142</v>
      </c>
      <c r="D117" s="35" t="s">
        <v>1076</v>
      </c>
      <c r="E117" s="36"/>
      <c r="F117" s="36"/>
      <c r="G117" s="36"/>
      <c r="H117" s="36"/>
      <c r="I117" s="36"/>
      <c r="J117" s="362"/>
      <c r="K117" s="3"/>
    </row>
    <row r="118" spans="1:11" hidden="1" x14ac:dyDescent="0.25">
      <c r="A118" s="53" t="s">
        <v>1254</v>
      </c>
      <c r="B118" s="54" t="s">
        <v>1255</v>
      </c>
      <c r="C118" s="55"/>
      <c r="D118" s="55"/>
      <c r="E118" s="55"/>
      <c r="F118" s="55"/>
      <c r="G118" s="55"/>
      <c r="H118" s="55"/>
      <c r="I118" s="55"/>
      <c r="J118" s="361"/>
    </row>
    <row r="119" spans="1:11" ht="45" hidden="1" x14ac:dyDescent="0.25">
      <c r="A119" s="56" t="s">
        <v>1257</v>
      </c>
      <c r="B119" s="57" t="s">
        <v>1256</v>
      </c>
      <c r="C119" s="55"/>
      <c r="D119" s="56" t="s">
        <v>9</v>
      </c>
      <c r="E119" s="48" t="e">
        <f>E120/E121*100</f>
        <v>#DIV/0!</v>
      </c>
      <c r="F119" s="48" t="e">
        <f>F120/F121*100</f>
        <v>#DIV/0!</v>
      </c>
      <c r="G119" s="48" t="e">
        <f>G120/G121*100</f>
        <v>#DIV/0!</v>
      </c>
      <c r="H119" s="48"/>
      <c r="I119" s="48"/>
      <c r="J119" s="359"/>
      <c r="K119" s="3" t="s">
        <v>106</v>
      </c>
    </row>
    <row r="120" spans="1:11" ht="120" hidden="1" x14ac:dyDescent="0.25">
      <c r="A120" s="61"/>
      <c r="B120" s="60" t="s">
        <v>1258</v>
      </c>
      <c r="C120" s="35" t="s">
        <v>1259</v>
      </c>
      <c r="D120" s="35" t="s">
        <v>1076</v>
      </c>
      <c r="E120" s="36"/>
      <c r="F120" s="36"/>
      <c r="G120" s="36"/>
      <c r="H120" s="36"/>
      <c r="I120" s="36"/>
      <c r="J120" s="362"/>
    </row>
    <row r="121" spans="1:11" ht="105" hidden="1" x14ac:dyDescent="0.25">
      <c r="A121" s="61"/>
      <c r="B121" s="60" t="s">
        <v>1260</v>
      </c>
      <c r="C121" s="35" t="s">
        <v>1259</v>
      </c>
      <c r="D121" s="35" t="s">
        <v>1076</v>
      </c>
      <c r="E121" s="36"/>
      <c r="F121" s="36"/>
      <c r="G121" s="36"/>
      <c r="H121" s="36"/>
      <c r="I121" s="36"/>
      <c r="J121" s="362"/>
    </row>
    <row r="122" spans="1:11" ht="45" hidden="1" x14ac:dyDescent="0.25">
      <c r="A122" s="53" t="s">
        <v>1261</v>
      </c>
      <c r="B122" s="54" t="s">
        <v>1262</v>
      </c>
      <c r="C122" s="55"/>
      <c r="D122" s="55"/>
      <c r="E122" s="55"/>
      <c r="F122" s="55"/>
      <c r="G122" s="55"/>
      <c r="H122" s="55"/>
      <c r="I122" s="55"/>
      <c r="J122" s="361"/>
    </row>
    <row r="123" spans="1:11" ht="75" hidden="1" x14ac:dyDescent="0.25">
      <c r="A123" s="56" t="s">
        <v>1263</v>
      </c>
      <c r="B123" s="57" t="s">
        <v>1264</v>
      </c>
      <c r="C123" s="55"/>
      <c r="D123" s="56" t="s">
        <v>9</v>
      </c>
      <c r="E123" s="48" t="e">
        <f>E124/E125*100</f>
        <v>#DIV/0!</v>
      </c>
      <c r="F123" s="48" t="e">
        <f>F124/F125*100</f>
        <v>#DIV/0!</v>
      </c>
      <c r="G123" s="48" t="e">
        <f>G124/G125*100</f>
        <v>#DIV/0!</v>
      </c>
      <c r="H123" s="48"/>
      <c r="I123" s="48"/>
      <c r="J123" s="359"/>
      <c r="K123" s="3" t="s">
        <v>106</v>
      </c>
    </row>
    <row r="124" spans="1:11" ht="60" hidden="1" x14ac:dyDescent="0.25">
      <c r="A124" s="35"/>
      <c r="B124" s="60" t="s">
        <v>1265</v>
      </c>
      <c r="C124" s="35" t="s">
        <v>147</v>
      </c>
      <c r="D124" s="35" t="s">
        <v>1076</v>
      </c>
      <c r="E124" s="36"/>
      <c r="F124" s="36"/>
      <c r="G124" s="36"/>
      <c r="H124" s="36"/>
      <c r="I124" s="36"/>
      <c r="J124" s="362"/>
      <c r="K124" s="3"/>
    </row>
    <row r="125" spans="1:11" ht="30" hidden="1" x14ac:dyDescent="0.25">
      <c r="A125" s="35"/>
      <c r="B125" s="60" t="s">
        <v>1266</v>
      </c>
      <c r="C125" s="35" t="s">
        <v>142</v>
      </c>
      <c r="D125" s="35" t="s">
        <v>1076</v>
      </c>
      <c r="E125" s="36"/>
      <c r="F125" s="36"/>
      <c r="G125" s="36"/>
      <c r="H125" s="36"/>
      <c r="I125" s="36"/>
      <c r="J125" s="362"/>
      <c r="K125" s="3"/>
    </row>
  </sheetData>
  <mergeCells count="7">
    <mergeCell ref="A97:G97"/>
    <mergeCell ref="A3:G3"/>
    <mergeCell ref="A4:G4"/>
    <mergeCell ref="A8:G8"/>
    <mergeCell ref="A26:G26"/>
    <mergeCell ref="A7:I7"/>
    <mergeCell ref="A47:I47"/>
  </mergeCells>
  <dataValidations count="1">
    <dataValidation type="whole" allowBlank="1" showInputMessage="1" showErrorMessage="1" errorTitle="Ошибка ввода" error="Попытка ввести данные отличные от числовых или целочисленных" sqref="E102:J102">
      <formula1>0</formula1>
      <formula2>999999999999</formula2>
    </dataValidation>
  </dataValidations>
  <pageMargins left="0.70866141732283472" right="0.70866141732283472" top="0.74803149606299213" bottom="0.74803149606299213" header="0.31496062992125984" footer="0.31496062992125984"/>
  <pageSetup paperSize="9" scale="47"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СВОД</vt:lpstr>
      <vt:lpstr>Дошкольное</vt:lpstr>
      <vt:lpstr>Общее</vt:lpstr>
      <vt:lpstr>Профессиональное</vt:lpstr>
      <vt:lpstr>Высшее</vt:lpstr>
      <vt:lpstr>Дополнительное</vt:lpstr>
      <vt:lpstr>Дополнительное (взрослых)</vt:lpstr>
      <vt:lpstr>Профессиональное обучение</vt:lpstr>
      <vt:lpstr>Дополнительная информация</vt:lpstr>
      <vt:lpstr>'Дополнительная информация'!OLE_LINK1</vt:lpstr>
      <vt:lpstr>'Дополнительная информация'!Область_печати</vt:lpstr>
      <vt:lpstr>Дополнительное!Область_печати</vt:lpstr>
      <vt:lpstr>Дошкольное!Область_печати</vt:lpstr>
      <vt:lpstr>Общее!Область_печати</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SamLab.ws</dc:creator>
  <cp:lastModifiedBy>VorontsovaMU</cp:lastModifiedBy>
  <cp:lastPrinted>2019-10-23T06:54:07Z</cp:lastPrinted>
  <dcterms:created xsi:type="dcterms:W3CDTF">2014-10-09T17:11:14Z</dcterms:created>
  <dcterms:modified xsi:type="dcterms:W3CDTF">2019-10-31T04:35:51Z</dcterms:modified>
</cp:coreProperties>
</file>